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  <sheet name="Poule du Lyonnais" sheetId="6" r:id="rId6"/>
  </sheets>
  <definedNames/>
  <calcPr fullCalcOnLoad="1"/>
</workbook>
</file>

<file path=xl/sharedStrings.xml><?xml version="1.0" encoding="utf-8"?>
<sst xmlns="http://schemas.openxmlformats.org/spreadsheetml/2006/main" count="1551" uniqueCount="208">
  <si>
    <t>Poule</t>
  </si>
  <si>
    <t>Points</t>
  </si>
  <si>
    <t>Vict.</t>
  </si>
  <si>
    <t>Déf.</t>
  </si>
  <si>
    <t>Attaque</t>
  </si>
  <si>
    <t>Défense</t>
  </si>
  <si>
    <t>Moyenne Attaque</t>
  </si>
  <si>
    <t>Moyenne défense</t>
  </si>
  <si>
    <t>Goal</t>
  </si>
  <si>
    <t>GP</t>
  </si>
  <si>
    <t>A</t>
  </si>
  <si>
    <t>Le Pontet</t>
  </si>
  <si>
    <t>SMUC</t>
  </si>
  <si>
    <t>Frontignan</t>
  </si>
  <si>
    <t>Avignon</t>
  </si>
  <si>
    <t>Aubenas</t>
  </si>
  <si>
    <t>Fréjus</t>
  </si>
  <si>
    <t>B</t>
  </si>
  <si>
    <t>Montbrison</t>
  </si>
  <si>
    <t>Martigues</t>
  </si>
  <si>
    <t>La Londe</t>
  </si>
  <si>
    <t>C</t>
  </si>
  <si>
    <t>Horsarrieu</t>
  </si>
  <si>
    <t>St-Médard</t>
  </si>
  <si>
    <t>D</t>
  </si>
  <si>
    <t>Colayrac</t>
  </si>
  <si>
    <t>Tresses</t>
  </si>
  <si>
    <t>Serres Gaston</t>
  </si>
  <si>
    <t>E</t>
  </si>
  <si>
    <t>Touraine</t>
  </si>
  <si>
    <t>Chatellerault</t>
  </si>
  <si>
    <t>St-Herblain</t>
  </si>
  <si>
    <t>F</t>
  </si>
  <si>
    <t>Challandais</t>
  </si>
  <si>
    <t>Chambretaud</t>
  </si>
  <si>
    <t>St-Sébastien</t>
  </si>
  <si>
    <t>G</t>
  </si>
  <si>
    <t>Fresnes</t>
  </si>
  <si>
    <t>H</t>
  </si>
  <si>
    <t>Paris UC</t>
  </si>
  <si>
    <t>I</t>
  </si>
  <si>
    <t>Meaux</t>
  </si>
  <si>
    <t>Soissons</t>
  </si>
  <si>
    <t>Coulommiers</t>
  </si>
  <si>
    <t>J</t>
  </si>
  <si>
    <t>Joeuf Homecourt</t>
  </si>
  <si>
    <t>Mirecourt</t>
  </si>
  <si>
    <t>Rosheim</t>
  </si>
  <si>
    <t>St-Dizier</t>
  </si>
  <si>
    <t>K</t>
  </si>
  <si>
    <t>L</t>
  </si>
  <si>
    <t>CLAR</t>
  </si>
  <si>
    <t>Chateaudun</t>
  </si>
  <si>
    <t>N°</t>
  </si>
  <si>
    <t>Joués</t>
  </si>
  <si>
    <t>Salon</t>
  </si>
  <si>
    <t>Aix-les-Bains</t>
  </si>
  <si>
    <t>Saulce</t>
  </si>
  <si>
    <t>Mérignac</t>
  </si>
  <si>
    <t>Langon Sud</t>
  </si>
  <si>
    <t>St-Brieuc</t>
  </si>
  <si>
    <t>Avranches</t>
  </si>
  <si>
    <t>Montfort</t>
  </si>
  <si>
    <t>Basse-Indre</t>
  </si>
  <si>
    <t>La Mélantoise</t>
  </si>
  <si>
    <t>Maubeuge</t>
  </si>
  <si>
    <t>Sarcelles</t>
  </si>
  <si>
    <t>Lognes Marne</t>
  </si>
  <si>
    <t>Pfastatt</t>
  </si>
  <si>
    <t>Curgy</t>
  </si>
  <si>
    <t>Caluire</t>
  </si>
  <si>
    <t>BC Langueux</t>
  </si>
  <si>
    <t>Moulin Nantes</t>
  </si>
  <si>
    <t>Evre BC</t>
  </si>
  <si>
    <t>CEP Lorient</t>
  </si>
  <si>
    <t>Saint-Malo</t>
  </si>
  <si>
    <t>Guipavas</t>
  </si>
  <si>
    <t>St-Laurent-P.</t>
  </si>
  <si>
    <t>PLR Brest</t>
  </si>
  <si>
    <t>Luçon BC</t>
  </si>
  <si>
    <t>Niort BC</t>
  </si>
  <si>
    <t>Mouchamps</t>
  </si>
  <si>
    <t>Rézé Nantes</t>
  </si>
  <si>
    <t>BB Marmande</t>
  </si>
  <si>
    <t>Ch. Gaujacq</t>
  </si>
  <si>
    <t>Tulle Corrèze</t>
  </si>
  <si>
    <t>Cognac BB</t>
  </si>
  <si>
    <t>Sort Chalosse</t>
  </si>
  <si>
    <t>La Pennoise</t>
  </si>
  <si>
    <t>Buzequaise</t>
  </si>
  <si>
    <t>Stade Poitevin</t>
  </si>
  <si>
    <t>AL Benevent</t>
  </si>
  <si>
    <t>Castelnau BC</t>
  </si>
  <si>
    <t>Agen BC</t>
  </si>
  <si>
    <t>Castelnau-Lez</t>
  </si>
  <si>
    <t>Stade Montois</t>
  </si>
  <si>
    <t>Pau Nord-Est</t>
  </si>
  <si>
    <t>Castera-Cezan</t>
  </si>
  <si>
    <t>US Colomiers</t>
  </si>
  <si>
    <t>Toulouges II</t>
  </si>
  <si>
    <t>BC Ossunois</t>
  </si>
  <si>
    <t>Cocumont</t>
  </si>
  <si>
    <t>Aix-Provence</t>
  </si>
  <si>
    <t>Grigny-Givors</t>
  </si>
  <si>
    <t>AS Roanne</t>
  </si>
  <si>
    <t>St-Martin-Hères</t>
  </si>
  <si>
    <t>Oullins Ste-Foy</t>
  </si>
  <si>
    <t>Montmélian</t>
  </si>
  <si>
    <t>Annonay</t>
  </si>
  <si>
    <t>EF Bastia</t>
  </si>
  <si>
    <t>Cagnes</t>
  </si>
  <si>
    <t>AS Arcois</t>
  </si>
  <si>
    <t>Vitrolles</t>
  </si>
  <si>
    <t>Ste-Maxime</t>
  </si>
  <si>
    <t>Lagnieu</t>
  </si>
  <si>
    <t>BS Troyes</t>
  </si>
  <si>
    <t>Lyon CRO</t>
  </si>
  <si>
    <t>AS Mtferrand</t>
  </si>
  <si>
    <t>Issoire</t>
  </si>
  <si>
    <t>SCA Cusset</t>
  </si>
  <si>
    <t>JDA Dijon II</t>
  </si>
  <si>
    <t>Andéolaise</t>
  </si>
  <si>
    <t>Prissé II</t>
  </si>
  <si>
    <t>Poligny</t>
  </si>
  <si>
    <t>Beaumarchais</t>
  </si>
  <si>
    <t>Colmar</t>
  </si>
  <si>
    <t>Quincié-Beaujolais</t>
  </si>
  <si>
    <t>Montmorot</t>
  </si>
  <si>
    <t>BC Orchies</t>
  </si>
  <si>
    <t>ASE Strasbourg</t>
  </si>
  <si>
    <t>ASG Gauchy</t>
  </si>
  <si>
    <t>Strasbourg IG II</t>
  </si>
  <si>
    <t>Neuville-Ferrain</t>
  </si>
  <si>
    <t>SM Tourcoing</t>
  </si>
  <si>
    <t>ASPTT Nancy</t>
  </si>
  <si>
    <t>Sélestat</t>
  </si>
  <si>
    <t>Vandoeuvre</t>
  </si>
  <si>
    <t>ESC Longueau</t>
  </si>
  <si>
    <t>ASO Esquennoy</t>
  </si>
  <si>
    <t>AL Montivilliers</t>
  </si>
  <si>
    <t>Mons-en-Baroeul</t>
  </si>
  <si>
    <t>Finances Paris</t>
  </si>
  <si>
    <t>Marly-le-Roi</t>
  </si>
  <si>
    <t>Neuville-Dieppe</t>
  </si>
  <si>
    <t>CO Vigneux</t>
  </si>
  <si>
    <t>USC Amiens</t>
  </si>
  <si>
    <t>Cergy-Osny-Pont.</t>
  </si>
  <si>
    <t>ABC Dourges</t>
  </si>
  <si>
    <t>Tremblay</t>
  </si>
  <si>
    <t>Blendecques St-O.</t>
  </si>
  <si>
    <t>GCO Bihorel</t>
  </si>
  <si>
    <t>Grande-Synthe</t>
  </si>
  <si>
    <t>ALA Le Havre</t>
  </si>
  <si>
    <t>Alsace Bagnolet</t>
  </si>
  <si>
    <t>SMEP Dechy</t>
  </si>
  <si>
    <t>59-62 Basket</t>
  </si>
  <si>
    <t>US Alfortville</t>
  </si>
  <si>
    <t>ADA Blois</t>
  </si>
  <si>
    <t>Charenton</t>
  </si>
  <si>
    <t>ASPTT Caen</t>
  </si>
  <si>
    <t>JS Coulaines</t>
  </si>
  <si>
    <t>Les Aubrais</t>
  </si>
  <si>
    <t>Grand-Chartres</t>
  </si>
  <si>
    <t>Ris-Orangis</t>
  </si>
  <si>
    <t>Lons-le-S.</t>
  </si>
  <si>
    <t>Souffelweyer.</t>
  </si>
  <si>
    <t>St-Dié</t>
  </si>
  <si>
    <t>JS Cugnaux</t>
  </si>
  <si>
    <t>Après la 11° journée</t>
  </si>
  <si>
    <t>Marseille SMUC</t>
  </si>
  <si>
    <t>Bastia EF</t>
  </si>
  <si>
    <t>Les Arcs AS</t>
  </si>
  <si>
    <t>Roanne AS</t>
  </si>
  <si>
    <t>Cugnaux JS</t>
  </si>
  <si>
    <t>Colomiers US</t>
  </si>
  <si>
    <t>Ossunois BC</t>
  </si>
  <si>
    <t>Troyes BS</t>
  </si>
  <si>
    <t>Montferrand AS</t>
  </si>
  <si>
    <t>Dijon JDA II</t>
  </si>
  <si>
    <t>Cusset SCA</t>
  </si>
  <si>
    <t>Orchies BC</t>
  </si>
  <si>
    <t>Tourcoing SM</t>
  </si>
  <si>
    <t>Strasbourg ASE</t>
  </si>
  <si>
    <t>Gauchy</t>
  </si>
  <si>
    <t>Nancy ASPTT</t>
  </si>
  <si>
    <t>Longueau</t>
  </si>
  <si>
    <t>Esquennoy</t>
  </si>
  <si>
    <t>Montivilliers</t>
  </si>
  <si>
    <t>Paris Finances</t>
  </si>
  <si>
    <t>Vigneux</t>
  </si>
  <si>
    <t>Amiens USC</t>
  </si>
  <si>
    <t>Dourges ABC</t>
  </si>
  <si>
    <t>Le Havre ALA</t>
  </si>
  <si>
    <t>Bihorel GCO</t>
  </si>
  <si>
    <t>Dechy SMEP</t>
  </si>
  <si>
    <t>Blois ADA</t>
  </si>
  <si>
    <t>Caen ASPTT</t>
  </si>
  <si>
    <t>Alfortville US</t>
  </si>
  <si>
    <t>Chartres</t>
  </si>
  <si>
    <t>Coulaines JS</t>
  </si>
  <si>
    <t>Langueux BC</t>
  </si>
  <si>
    <t>Nantes Moulin</t>
  </si>
  <si>
    <t>Lorient CEP</t>
  </si>
  <si>
    <t>Brest PLR</t>
  </si>
  <si>
    <t>Nantes Rézé</t>
  </si>
  <si>
    <t>Gaujacq Chalosse</t>
  </si>
  <si>
    <t>Marmande BB</t>
  </si>
  <si>
    <t>Benevent AL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</si>
</sst>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19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sz val="12"/>
      <color indexed="8"/>
      <name val="Garamond"/>
      <family val="1"/>
    </font>
    <font>
      <sz val="8"/>
      <name val="Garamond"/>
      <family val="1"/>
    </font>
    <font>
      <sz val="12"/>
      <color indexed="17"/>
      <name val="Impact"/>
      <family val="2"/>
    </font>
    <font>
      <i/>
      <u val="single"/>
      <sz val="12"/>
      <color indexed="17"/>
      <name val="Impact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6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workbookViewId="0" topLeftCell="A40">
      <selection activeCell="A52" sqref="A52"/>
    </sheetView>
  </sheetViews>
  <sheetFormatPr defaultColWidth="11.00390625" defaultRowHeight="15.75"/>
  <cols>
    <col min="1" max="1" width="5.125" style="5" customWidth="1"/>
    <col min="2" max="2" width="17.25390625" style="0" customWidth="1"/>
    <col min="3" max="3" width="5.75390625" style="17" customWidth="1"/>
    <col min="4" max="4" width="5.75390625" style="0" customWidth="1"/>
    <col min="5" max="5" width="4.625" style="17" customWidth="1"/>
    <col min="6" max="6" width="4.25390625" style="17" customWidth="1"/>
    <col min="7" max="7" width="7.00390625" style="0" customWidth="1"/>
    <col min="8" max="8" width="6.875" style="0" customWidth="1"/>
    <col min="9" max="9" width="8.625" style="0" customWidth="1"/>
    <col min="10" max="10" width="9.25390625" style="0" customWidth="1"/>
    <col min="11" max="11" width="4.75390625" style="0" customWidth="1"/>
    <col min="12" max="12" width="2.625" style="0" customWidth="1"/>
    <col min="13" max="13" width="5.375" style="0" customWidth="1"/>
  </cols>
  <sheetData>
    <row r="1" spans="1:13" ht="29.25" customHeight="1">
      <c r="A1" s="8" t="s">
        <v>0</v>
      </c>
      <c r="B1" s="7" t="s">
        <v>168</v>
      </c>
      <c r="C1" s="30" t="s">
        <v>1</v>
      </c>
      <c r="D1" s="10" t="s">
        <v>54</v>
      </c>
      <c r="E1" s="30" t="s">
        <v>2</v>
      </c>
      <c r="F1" s="30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6" t="s">
        <v>8</v>
      </c>
      <c r="L1" s="15" t="s">
        <v>9</v>
      </c>
      <c r="M1" s="6"/>
    </row>
    <row r="2" spans="1:11" ht="15.75">
      <c r="A2" s="5" t="s">
        <v>10</v>
      </c>
      <c r="B2" s="33" t="s">
        <v>11</v>
      </c>
      <c r="C2" s="34">
        <f aca="true" t="shared" si="0" ref="C2:C10">D2+E2</f>
        <v>29</v>
      </c>
      <c r="D2" s="35">
        <v>15</v>
      </c>
      <c r="E2" s="36">
        <v>14</v>
      </c>
      <c r="F2" s="37">
        <v>1</v>
      </c>
      <c r="G2" s="35">
        <f>1241+83</f>
        <v>1324</v>
      </c>
      <c r="H2" s="35">
        <f>959+68</f>
        <v>1027</v>
      </c>
      <c r="I2" s="11">
        <f>G2/D2</f>
        <v>88.26666666666667</v>
      </c>
      <c r="J2" s="11">
        <f>H2/D2</f>
        <v>68.46666666666667</v>
      </c>
      <c r="K2" s="4">
        <f aca="true" t="shared" si="1" ref="K2:K13">G2-H2</f>
        <v>297</v>
      </c>
    </row>
    <row r="3" spans="1:11" ht="15.75">
      <c r="A3" s="5" t="s">
        <v>10</v>
      </c>
      <c r="B3" s="33" t="s">
        <v>169</v>
      </c>
      <c r="C3" s="34">
        <f t="shared" si="0"/>
        <v>26</v>
      </c>
      <c r="D3" s="35">
        <v>15</v>
      </c>
      <c r="E3" s="36">
        <v>11</v>
      </c>
      <c r="F3" s="37">
        <v>4</v>
      </c>
      <c r="G3" s="35">
        <f>1402+113</f>
        <v>1515</v>
      </c>
      <c r="H3" s="35">
        <f>1241+53</f>
        <v>1294</v>
      </c>
      <c r="I3" s="11">
        <f aca="true" t="shared" si="2" ref="I3:I13">G3/D3</f>
        <v>101</v>
      </c>
      <c r="J3" s="11">
        <f aca="true" t="shared" si="3" ref="J3:J13">H3/D3</f>
        <v>86.26666666666667</v>
      </c>
      <c r="K3" s="4">
        <f t="shared" si="1"/>
        <v>221</v>
      </c>
    </row>
    <row r="4" spans="1:11" ht="15.75">
      <c r="A4" s="5" t="s">
        <v>10</v>
      </c>
      <c r="B4" s="33" t="s">
        <v>57</v>
      </c>
      <c r="C4" s="34">
        <f t="shared" si="0"/>
        <v>24</v>
      </c>
      <c r="D4" s="35">
        <v>15</v>
      </c>
      <c r="E4" s="36">
        <v>9</v>
      </c>
      <c r="F4" s="37">
        <v>6</v>
      </c>
      <c r="G4" s="35">
        <f>1226+98</f>
        <v>1324</v>
      </c>
      <c r="H4" s="35">
        <f>1170+76</f>
        <v>1246</v>
      </c>
      <c r="I4" s="11">
        <f t="shared" si="2"/>
        <v>88.26666666666667</v>
      </c>
      <c r="J4" s="11">
        <f t="shared" si="3"/>
        <v>83.06666666666666</v>
      </c>
      <c r="K4" s="4">
        <f t="shared" si="1"/>
        <v>78</v>
      </c>
    </row>
    <row r="5" spans="1:11" ht="15.75">
      <c r="A5" s="5" t="s">
        <v>10</v>
      </c>
      <c r="B5" s="33" t="s">
        <v>170</v>
      </c>
      <c r="C5" s="34">
        <f t="shared" si="0"/>
        <v>24</v>
      </c>
      <c r="D5" s="35">
        <v>15</v>
      </c>
      <c r="E5" s="36">
        <v>9</v>
      </c>
      <c r="F5" s="37">
        <v>6</v>
      </c>
      <c r="G5" s="35">
        <f>1095+88</f>
        <v>1183</v>
      </c>
      <c r="H5" s="35">
        <f>1070+94</f>
        <v>1164</v>
      </c>
      <c r="I5" s="11">
        <f t="shared" si="2"/>
        <v>78.86666666666666</v>
      </c>
      <c r="J5" s="11">
        <f t="shared" si="3"/>
        <v>77.6</v>
      </c>
      <c r="K5" s="4">
        <f t="shared" si="1"/>
        <v>19</v>
      </c>
    </row>
    <row r="6" spans="1:11" ht="15.75">
      <c r="A6" s="5" t="s">
        <v>10</v>
      </c>
      <c r="B6" s="33" t="s">
        <v>19</v>
      </c>
      <c r="C6" s="34">
        <f t="shared" si="0"/>
        <v>24</v>
      </c>
      <c r="D6" s="35">
        <v>15</v>
      </c>
      <c r="E6" s="36">
        <v>9</v>
      </c>
      <c r="F6" s="37">
        <v>6</v>
      </c>
      <c r="G6" s="35">
        <f>1206+54</f>
        <v>1260</v>
      </c>
      <c r="H6" s="35">
        <f>1222+73</f>
        <v>1295</v>
      </c>
      <c r="I6" s="11">
        <f t="shared" si="2"/>
        <v>84</v>
      </c>
      <c r="J6" s="11">
        <f t="shared" si="3"/>
        <v>86.33333333333333</v>
      </c>
      <c r="K6" s="4">
        <f t="shared" si="1"/>
        <v>-35</v>
      </c>
    </row>
    <row r="7" spans="1:11" ht="15.75">
      <c r="A7" s="5" t="s">
        <v>10</v>
      </c>
      <c r="B7" s="38" t="s">
        <v>15</v>
      </c>
      <c r="C7" s="34">
        <f t="shared" si="0"/>
        <v>23</v>
      </c>
      <c r="D7" s="35">
        <v>15</v>
      </c>
      <c r="E7" s="36">
        <v>8</v>
      </c>
      <c r="F7" s="37">
        <v>7</v>
      </c>
      <c r="G7" s="35">
        <f>1171+107</f>
        <v>1278</v>
      </c>
      <c r="H7" s="35">
        <f>1160+79</f>
        <v>1239</v>
      </c>
      <c r="I7" s="11">
        <f t="shared" si="2"/>
        <v>85.2</v>
      </c>
      <c r="J7" s="11">
        <f t="shared" si="3"/>
        <v>82.6</v>
      </c>
      <c r="K7" s="4">
        <f t="shared" si="1"/>
        <v>39</v>
      </c>
    </row>
    <row r="8" spans="1:11" ht="15.75">
      <c r="A8" s="5" t="s">
        <v>10</v>
      </c>
      <c r="B8" s="39" t="s">
        <v>108</v>
      </c>
      <c r="C8" s="34">
        <f t="shared" si="0"/>
        <v>23</v>
      </c>
      <c r="D8" s="35">
        <v>15</v>
      </c>
      <c r="E8" s="36">
        <v>8</v>
      </c>
      <c r="F8" s="37">
        <v>7</v>
      </c>
      <c r="G8" s="35">
        <f>1226+79</f>
        <v>1305</v>
      </c>
      <c r="H8" s="35">
        <f>1155+107</f>
        <v>1262</v>
      </c>
      <c r="I8" s="11">
        <f t="shared" si="2"/>
        <v>87</v>
      </c>
      <c r="J8" s="11">
        <f t="shared" si="3"/>
        <v>84.13333333333334</v>
      </c>
      <c r="K8" s="4">
        <f t="shared" si="1"/>
        <v>43</v>
      </c>
    </row>
    <row r="9" spans="1:11" ht="15.75">
      <c r="A9" s="5" t="s">
        <v>10</v>
      </c>
      <c r="B9" s="38" t="s">
        <v>171</v>
      </c>
      <c r="C9" s="34">
        <f t="shared" si="0"/>
        <v>23</v>
      </c>
      <c r="D9" s="35">
        <v>15</v>
      </c>
      <c r="E9" s="36">
        <v>8</v>
      </c>
      <c r="F9" s="37">
        <v>7</v>
      </c>
      <c r="G9" s="35">
        <f>1056+73</f>
        <v>1129</v>
      </c>
      <c r="H9" s="35">
        <f>1111+54</f>
        <v>1165</v>
      </c>
      <c r="I9" s="11">
        <f t="shared" si="2"/>
        <v>75.26666666666667</v>
      </c>
      <c r="J9" s="11">
        <f t="shared" si="3"/>
        <v>77.66666666666667</v>
      </c>
      <c r="K9" s="4">
        <f t="shared" si="1"/>
        <v>-36</v>
      </c>
    </row>
    <row r="10" spans="1:11" ht="15.75">
      <c r="A10" s="5" t="s">
        <v>10</v>
      </c>
      <c r="B10" s="40" t="s">
        <v>110</v>
      </c>
      <c r="C10" s="34">
        <f t="shared" si="0"/>
        <v>22</v>
      </c>
      <c r="D10" s="35">
        <v>15</v>
      </c>
      <c r="E10" s="36">
        <v>7</v>
      </c>
      <c r="F10" s="37">
        <v>8</v>
      </c>
      <c r="G10" s="35">
        <f>1143+94</f>
        <v>1237</v>
      </c>
      <c r="H10" s="35">
        <f>1219+88</f>
        <v>1307</v>
      </c>
      <c r="I10" s="11">
        <f t="shared" si="2"/>
        <v>82.46666666666667</v>
      </c>
      <c r="J10" s="11">
        <f t="shared" si="3"/>
        <v>87.13333333333334</v>
      </c>
      <c r="K10" s="4">
        <f t="shared" si="1"/>
        <v>-70</v>
      </c>
    </row>
    <row r="11" spans="1:11" ht="15.75">
      <c r="A11" s="5" t="s">
        <v>10</v>
      </c>
      <c r="B11" s="33" t="s">
        <v>14</v>
      </c>
      <c r="C11" s="34">
        <f>D11+E11</f>
        <v>18</v>
      </c>
      <c r="D11" s="35">
        <v>15</v>
      </c>
      <c r="E11" s="36">
        <v>3</v>
      </c>
      <c r="F11" s="37">
        <v>12</v>
      </c>
      <c r="G11" s="35">
        <f>1057+68</f>
        <v>1125</v>
      </c>
      <c r="H11" s="35">
        <f>1155+83</f>
        <v>1238</v>
      </c>
      <c r="I11" s="11">
        <f t="shared" si="2"/>
        <v>75</v>
      </c>
      <c r="J11" s="11">
        <f t="shared" si="3"/>
        <v>82.53333333333333</v>
      </c>
      <c r="K11" s="4">
        <f t="shared" si="1"/>
        <v>-113</v>
      </c>
    </row>
    <row r="12" spans="1:11" ht="15.75">
      <c r="A12" s="5" t="s">
        <v>10</v>
      </c>
      <c r="B12" s="39" t="s">
        <v>112</v>
      </c>
      <c r="C12" s="34">
        <f>D12+E12</f>
        <v>18</v>
      </c>
      <c r="D12" s="35">
        <v>15</v>
      </c>
      <c r="E12" s="36">
        <v>3</v>
      </c>
      <c r="F12" s="37">
        <v>12</v>
      </c>
      <c r="G12" s="35">
        <f>1051+76</f>
        <v>1127</v>
      </c>
      <c r="H12" s="35">
        <f>1178+98</f>
        <v>1276</v>
      </c>
      <c r="I12" s="11">
        <f t="shared" si="2"/>
        <v>75.13333333333334</v>
      </c>
      <c r="J12" s="11">
        <f t="shared" si="3"/>
        <v>85.06666666666666</v>
      </c>
      <c r="K12" s="4">
        <f t="shared" si="1"/>
        <v>-149</v>
      </c>
    </row>
    <row r="13" spans="1:13" ht="15.75">
      <c r="A13" s="5" t="s">
        <v>10</v>
      </c>
      <c r="B13" s="39" t="s">
        <v>113</v>
      </c>
      <c r="C13" s="34">
        <f>D13+E13</f>
        <v>16</v>
      </c>
      <c r="D13" s="35">
        <v>15</v>
      </c>
      <c r="E13" s="36">
        <v>1</v>
      </c>
      <c r="F13" s="37">
        <v>14</v>
      </c>
      <c r="G13" s="35">
        <f>987+53</f>
        <v>1040</v>
      </c>
      <c r="H13" s="35">
        <f>1221+113</f>
        <v>1334</v>
      </c>
      <c r="I13" s="11">
        <f t="shared" si="2"/>
        <v>69.33333333333333</v>
      </c>
      <c r="J13" s="11">
        <f t="shared" si="3"/>
        <v>88.93333333333334</v>
      </c>
      <c r="K13" s="4">
        <f t="shared" si="1"/>
        <v>-294</v>
      </c>
      <c r="L13" s="2"/>
      <c r="M13" s="1">
        <f>SUM(I2:I13)/12</f>
        <v>82.48333333333333</v>
      </c>
    </row>
    <row r="14" spans="3:11" ht="13.5" customHeight="1">
      <c r="C14" s="16"/>
      <c r="D14" s="3"/>
      <c r="E14" s="16"/>
      <c r="F14" s="16"/>
      <c r="G14" s="3"/>
      <c r="H14" s="3"/>
      <c r="I14" s="11"/>
      <c r="J14" s="11"/>
      <c r="K14" s="4"/>
    </row>
    <row r="15" spans="1:11" ht="15.75">
      <c r="A15" s="5" t="s">
        <v>17</v>
      </c>
      <c r="B15" s="41" t="s">
        <v>55</v>
      </c>
      <c r="C15" s="42">
        <f aca="true" t="shared" si="4" ref="C15:C26">D15+E15</f>
        <v>28</v>
      </c>
      <c r="D15" s="43">
        <v>15</v>
      </c>
      <c r="E15" s="44">
        <v>13</v>
      </c>
      <c r="F15" s="45">
        <v>2</v>
      </c>
      <c r="G15" s="43">
        <f>1172+70</f>
        <v>1242</v>
      </c>
      <c r="H15" s="43">
        <f>1014+56</f>
        <v>1070</v>
      </c>
      <c r="I15" s="11">
        <f>G15/D15</f>
        <v>82.8</v>
      </c>
      <c r="J15" s="11">
        <f>H15/D15</f>
        <v>71.33333333333333</v>
      </c>
      <c r="K15" s="4">
        <f aca="true" t="shared" si="5" ref="K15:K26">G15-H15</f>
        <v>172</v>
      </c>
    </row>
    <row r="16" spans="1:11" ht="15.75">
      <c r="A16" s="5" t="s">
        <v>17</v>
      </c>
      <c r="B16" s="41" t="s">
        <v>56</v>
      </c>
      <c r="C16" s="42">
        <f t="shared" si="4"/>
        <v>26</v>
      </c>
      <c r="D16" s="43">
        <v>15</v>
      </c>
      <c r="E16" s="44">
        <v>11</v>
      </c>
      <c r="F16" s="45">
        <v>4</v>
      </c>
      <c r="G16" s="43">
        <f>1146+95</f>
        <v>1241</v>
      </c>
      <c r="H16" s="43">
        <f>997+83</f>
        <v>1080</v>
      </c>
      <c r="I16" s="11">
        <f aca="true" t="shared" si="6" ref="I16:I26">G16/D16</f>
        <v>82.73333333333333</v>
      </c>
      <c r="J16" s="11">
        <f aca="true" t="shared" si="7" ref="J16:J26">H16/D16</f>
        <v>72</v>
      </c>
      <c r="K16" s="4">
        <f t="shared" si="5"/>
        <v>161</v>
      </c>
    </row>
    <row r="17" spans="1:11" ht="15.75">
      <c r="A17" s="5" t="s">
        <v>17</v>
      </c>
      <c r="B17" s="46" t="s">
        <v>102</v>
      </c>
      <c r="C17" s="42">
        <f t="shared" si="4"/>
        <v>24</v>
      </c>
      <c r="D17" s="43">
        <v>15</v>
      </c>
      <c r="E17" s="44">
        <v>9</v>
      </c>
      <c r="F17" s="45">
        <v>6</v>
      </c>
      <c r="G17" s="43">
        <f>1080+56</f>
        <v>1136</v>
      </c>
      <c r="H17" s="43">
        <f>949+70</f>
        <v>1019</v>
      </c>
      <c r="I17" s="11">
        <f t="shared" si="6"/>
        <v>75.73333333333333</v>
      </c>
      <c r="J17" s="11">
        <f t="shared" si="7"/>
        <v>67.93333333333334</v>
      </c>
      <c r="K17" s="4">
        <f t="shared" si="5"/>
        <v>117</v>
      </c>
    </row>
    <row r="18" spans="1:11" ht="15.75">
      <c r="A18" s="5" t="s">
        <v>17</v>
      </c>
      <c r="B18" s="41" t="s">
        <v>16</v>
      </c>
      <c r="C18" s="42">
        <f t="shared" si="4"/>
        <v>24</v>
      </c>
      <c r="D18" s="43">
        <v>15</v>
      </c>
      <c r="E18" s="44">
        <v>9</v>
      </c>
      <c r="F18" s="45">
        <v>6</v>
      </c>
      <c r="G18" s="43">
        <f>1177+70</f>
        <v>1247</v>
      </c>
      <c r="H18" s="43">
        <f>1056+83</f>
        <v>1139</v>
      </c>
      <c r="I18" s="11">
        <f t="shared" si="6"/>
        <v>83.13333333333334</v>
      </c>
      <c r="J18" s="11">
        <f t="shared" si="7"/>
        <v>75.93333333333334</v>
      </c>
      <c r="K18" s="4">
        <f t="shared" si="5"/>
        <v>108</v>
      </c>
    </row>
    <row r="19" spans="1:11" ht="15.75">
      <c r="A19" s="5" t="s">
        <v>17</v>
      </c>
      <c r="B19" s="47" t="s">
        <v>106</v>
      </c>
      <c r="C19" s="42">
        <f t="shared" si="4"/>
        <v>23</v>
      </c>
      <c r="D19" s="43">
        <v>15</v>
      </c>
      <c r="E19" s="44">
        <v>8</v>
      </c>
      <c r="F19" s="45">
        <v>7</v>
      </c>
      <c r="G19" s="43">
        <f>1101+71</f>
        <v>1172</v>
      </c>
      <c r="H19" s="43">
        <f>1159+53</f>
        <v>1212</v>
      </c>
      <c r="I19" s="11">
        <f t="shared" si="6"/>
        <v>78.13333333333334</v>
      </c>
      <c r="J19" s="11">
        <f t="shared" si="7"/>
        <v>80.8</v>
      </c>
      <c r="K19" s="4">
        <f t="shared" si="5"/>
        <v>-40</v>
      </c>
    </row>
    <row r="20" spans="1:11" ht="15.75">
      <c r="A20" s="5" t="s">
        <v>17</v>
      </c>
      <c r="B20" s="41" t="s">
        <v>18</v>
      </c>
      <c r="C20" s="42">
        <f t="shared" si="4"/>
        <v>23</v>
      </c>
      <c r="D20" s="43">
        <v>15</v>
      </c>
      <c r="E20" s="44">
        <v>8</v>
      </c>
      <c r="F20" s="45">
        <v>7</v>
      </c>
      <c r="G20" s="43">
        <f>1080+101</f>
        <v>1181</v>
      </c>
      <c r="H20" s="43">
        <f>1078+98</f>
        <v>1176</v>
      </c>
      <c r="I20" s="11">
        <f t="shared" si="6"/>
        <v>78.73333333333333</v>
      </c>
      <c r="J20" s="11">
        <f t="shared" si="7"/>
        <v>78.4</v>
      </c>
      <c r="K20" s="4">
        <f t="shared" si="5"/>
        <v>5</v>
      </c>
    </row>
    <row r="21" spans="1:11" ht="15.75">
      <c r="A21" s="5" t="s">
        <v>17</v>
      </c>
      <c r="B21" s="41" t="s">
        <v>103</v>
      </c>
      <c r="C21" s="42">
        <f t="shared" si="4"/>
        <v>23</v>
      </c>
      <c r="D21" s="43">
        <v>15</v>
      </c>
      <c r="E21" s="44">
        <v>8</v>
      </c>
      <c r="F21" s="45">
        <v>7</v>
      </c>
      <c r="G21" s="43">
        <f>1095+61</f>
        <v>1156</v>
      </c>
      <c r="H21" s="43">
        <v>1172</v>
      </c>
      <c r="I21" s="11">
        <f t="shared" si="6"/>
        <v>77.06666666666666</v>
      </c>
      <c r="J21" s="11">
        <f t="shared" si="7"/>
        <v>78.13333333333334</v>
      </c>
      <c r="K21" s="4">
        <f t="shared" si="5"/>
        <v>-16</v>
      </c>
    </row>
    <row r="22" spans="1:11" ht="15.75">
      <c r="A22" s="5" t="s">
        <v>17</v>
      </c>
      <c r="B22" s="41" t="s">
        <v>105</v>
      </c>
      <c r="C22" s="42">
        <f t="shared" si="4"/>
        <v>22</v>
      </c>
      <c r="D22" s="43">
        <v>15</v>
      </c>
      <c r="E22" s="44">
        <v>7</v>
      </c>
      <c r="F22" s="45">
        <v>8</v>
      </c>
      <c r="G22" s="43">
        <f>1094+53</f>
        <v>1147</v>
      </c>
      <c r="H22" s="43">
        <f>1123+71</f>
        <v>1194</v>
      </c>
      <c r="I22" s="11">
        <f t="shared" si="6"/>
        <v>76.46666666666667</v>
      </c>
      <c r="J22" s="11">
        <f t="shared" si="7"/>
        <v>79.6</v>
      </c>
      <c r="K22" s="4">
        <f t="shared" si="5"/>
        <v>-47</v>
      </c>
    </row>
    <row r="23" spans="1:11" ht="15.75">
      <c r="A23" s="5" t="s">
        <v>17</v>
      </c>
      <c r="B23" s="41" t="s">
        <v>20</v>
      </c>
      <c r="C23" s="42">
        <f t="shared" si="4"/>
        <v>21</v>
      </c>
      <c r="D23" s="43">
        <v>15</v>
      </c>
      <c r="E23" s="44">
        <v>6</v>
      </c>
      <c r="F23" s="45">
        <v>9</v>
      </c>
      <c r="G23" s="43">
        <f>1006+70</f>
        <v>1076</v>
      </c>
      <c r="H23" s="43">
        <f>1066+61</f>
        <v>1127</v>
      </c>
      <c r="I23" s="11">
        <f t="shared" si="6"/>
        <v>71.73333333333333</v>
      </c>
      <c r="J23" s="11">
        <f t="shared" si="7"/>
        <v>75.13333333333334</v>
      </c>
      <c r="K23" s="4">
        <f t="shared" si="5"/>
        <v>-51</v>
      </c>
    </row>
    <row r="24" spans="1:11" ht="15.75">
      <c r="A24" s="5" t="s">
        <v>17</v>
      </c>
      <c r="B24" s="41" t="s">
        <v>172</v>
      </c>
      <c r="C24" s="42">
        <f t="shared" si="4"/>
        <v>21</v>
      </c>
      <c r="D24" s="43">
        <v>15</v>
      </c>
      <c r="E24" s="44">
        <v>6</v>
      </c>
      <c r="F24" s="45">
        <v>9</v>
      </c>
      <c r="G24" s="43">
        <f>1130+98</f>
        <v>1228</v>
      </c>
      <c r="H24" s="43">
        <f>1202+101</f>
        <v>1303</v>
      </c>
      <c r="I24" s="11">
        <f t="shared" si="6"/>
        <v>81.86666666666666</v>
      </c>
      <c r="J24" s="11">
        <f t="shared" si="7"/>
        <v>86.86666666666666</v>
      </c>
      <c r="K24" s="4">
        <f t="shared" si="5"/>
        <v>-75</v>
      </c>
    </row>
    <row r="25" spans="1:12" ht="15.75">
      <c r="A25" s="5" t="s">
        <v>17</v>
      </c>
      <c r="B25" s="41" t="s">
        <v>70</v>
      </c>
      <c r="C25" s="42">
        <f t="shared" si="4"/>
        <v>19</v>
      </c>
      <c r="D25" s="43">
        <v>15</v>
      </c>
      <c r="E25" s="44">
        <v>4</v>
      </c>
      <c r="F25" s="45">
        <v>11</v>
      </c>
      <c r="G25" s="43">
        <f>1024+83</f>
        <v>1107</v>
      </c>
      <c r="H25" s="43">
        <f>1114+70</f>
        <v>1184</v>
      </c>
      <c r="I25" s="11">
        <f t="shared" si="6"/>
        <v>73.8</v>
      </c>
      <c r="J25" s="11">
        <f t="shared" si="7"/>
        <v>78.93333333333334</v>
      </c>
      <c r="K25" s="4">
        <f t="shared" si="5"/>
        <v>-77</v>
      </c>
      <c r="L25" s="2"/>
    </row>
    <row r="26" spans="1:13" ht="15.75">
      <c r="A26" s="5" t="s">
        <v>17</v>
      </c>
      <c r="B26" s="48" t="s">
        <v>107</v>
      </c>
      <c r="C26" s="42">
        <f t="shared" si="4"/>
        <v>16</v>
      </c>
      <c r="D26" s="43">
        <v>15</v>
      </c>
      <c r="E26" s="44">
        <v>1</v>
      </c>
      <c r="F26" s="45">
        <v>14</v>
      </c>
      <c r="G26" s="43">
        <f>904+83</f>
        <v>987</v>
      </c>
      <c r="H26" s="43">
        <f>1149+95</f>
        <v>1244</v>
      </c>
      <c r="I26" s="11">
        <f t="shared" si="6"/>
        <v>65.8</v>
      </c>
      <c r="J26" s="11">
        <f t="shared" si="7"/>
        <v>82.93333333333334</v>
      </c>
      <c r="K26" s="4">
        <f t="shared" si="5"/>
        <v>-257</v>
      </c>
      <c r="L26" s="2"/>
      <c r="M26" s="1">
        <f>SUM(I15:I26)/12</f>
        <v>77.33333333333333</v>
      </c>
    </row>
    <row r="27" spans="3:11" ht="17.25" customHeight="1">
      <c r="C27" s="16"/>
      <c r="D27" s="3"/>
      <c r="E27" s="16"/>
      <c r="F27" s="16"/>
      <c r="G27" s="3"/>
      <c r="H27" s="3"/>
      <c r="I27" s="11"/>
      <c r="J27" s="11"/>
      <c r="K27" s="4"/>
    </row>
    <row r="28" spans="1:11" ht="15.75">
      <c r="A28" s="5" t="s">
        <v>21</v>
      </c>
      <c r="B28" s="39" t="s">
        <v>93</v>
      </c>
      <c r="C28" s="34">
        <f aca="true" t="shared" si="8" ref="C28:C39">D28+E28</f>
        <v>28</v>
      </c>
      <c r="D28" s="35">
        <v>15</v>
      </c>
      <c r="E28" s="36">
        <v>13</v>
      </c>
      <c r="F28" s="37">
        <v>2</v>
      </c>
      <c r="G28" s="35">
        <f>1225+71</f>
        <v>1296</v>
      </c>
      <c r="H28" s="35">
        <f>990+48</f>
        <v>1038</v>
      </c>
      <c r="I28" s="11">
        <f>G28/D28</f>
        <v>86.4</v>
      </c>
      <c r="J28" s="11">
        <f>H28/D28</f>
        <v>69.2</v>
      </c>
      <c r="K28" s="4">
        <f aca="true" t="shared" si="9" ref="K28:K39">G28-H28</f>
        <v>258</v>
      </c>
    </row>
    <row r="29" spans="1:11" ht="15.75">
      <c r="A29" s="5" t="s">
        <v>21</v>
      </c>
      <c r="B29" s="38" t="s">
        <v>13</v>
      </c>
      <c r="C29" s="34">
        <f t="shared" si="8"/>
        <v>28</v>
      </c>
      <c r="D29" s="35">
        <v>15</v>
      </c>
      <c r="E29" s="36">
        <v>13</v>
      </c>
      <c r="F29" s="37">
        <v>2</v>
      </c>
      <c r="G29" s="35">
        <f>1174+84</f>
        <v>1258</v>
      </c>
      <c r="H29" s="35">
        <f>952+75</f>
        <v>1027</v>
      </c>
      <c r="I29" s="11">
        <f aca="true" t="shared" si="10" ref="I29:I39">G29/D29</f>
        <v>83.86666666666666</v>
      </c>
      <c r="J29" s="11">
        <f aca="true" t="shared" si="11" ref="J29:J39">H29/D29</f>
        <v>68.46666666666667</v>
      </c>
      <c r="K29" s="4">
        <f t="shared" si="9"/>
        <v>231</v>
      </c>
    </row>
    <row r="30" spans="1:11" ht="15.75">
      <c r="A30" s="5" t="s">
        <v>21</v>
      </c>
      <c r="B30" s="33" t="s">
        <v>95</v>
      </c>
      <c r="C30" s="34">
        <f t="shared" si="8"/>
        <v>25</v>
      </c>
      <c r="D30" s="35">
        <v>15</v>
      </c>
      <c r="E30" s="36">
        <v>10</v>
      </c>
      <c r="F30" s="37">
        <v>5</v>
      </c>
      <c r="G30" s="35">
        <f>1127+85</f>
        <v>1212</v>
      </c>
      <c r="H30" s="35">
        <f>1057+77</f>
        <v>1134</v>
      </c>
      <c r="I30" s="11">
        <f t="shared" si="10"/>
        <v>80.8</v>
      </c>
      <c r="J30" s="11">
        <f t="shared" si="11"/>
        <v>75.6</v>
      </c>
      <c r="K30" s="4">
        <f t="shared" si="9"/>
        <v>78</v>
      </c>
    </row>
    <row r="31" spans="1:11" ht="15.75">
      <c r="A31" s="5" t="s">
        <v>21</v>
      </c>
      <c r="B31" s="33" t="s">
        <v>94</v>
      </c>
      <c r="C31" s="34">
        <f t="shared" si="8"/>
        <v>25</v>
      </c>
      <c r="D31" s="35">
        <v>15</v>
      </c>
      <c r="E31" s="36">
        <v>10</v>
      </c>
      <c r="F31" s="37">
        <v>5</v>
      </c>
      <c r="G31" s="35">
        <f>1175+75</f>
        <v>1250</v>
      </c>
      <c r="H31" s="35">
        <f>1058+84</f>
        <v>1142</v>
      </c>
      <c r="I31" s="11">
        <f t="shared" si="10"/>
        <v>83.33333333333333</v>
      </c>
      <c r="J31" s="11">
        <f t="shared" si="11"/>
        <v>76.13333333333334</v>
      </c>
      <c r="K31" s="4">
        <f t="shared" si="9"/>
        <v>108</v>
      </c>
    </row>
    <row r="32" spans="1:11" ht="15.75">
      <c r="A32" s="5" t="s">
        <v>21</v>
      </c>
      <c r="B32" s="33" t="s">
        <v>97</v>
      </c>
      <c r="C32" s="34">
        <f t="shared" si="8"/>
        <v>23</v>
      </c>
      <c r="D32" s="35">
        <v>15</v>
      </c>
      <c r="E32" s="36">
        <v>8</v>
      </c>
      <c r="F32" s="37">
        <v>7</v>
      </c>
      <c r="G32" s="35">
        <f>1032+77</f>
        <v>1109</v>
      </c>
      <c r="H32" s="35">
        <v>1089</v>
      </c>
      <c r="I32" s="11">
        <f t="shared" si="10"/>
        <v>73.93333333333334</v>
      </c>
      <c r="J32" s="11">
        <f t="shared" si="11"/>
        <v>72.6</v>
      </c>
      <c r="K32" s="4">
        <f t="shared" si="9"/>
        <v>20</v>
      </c>
    </row>
    <row r="33" spans="1:11" ht="15.75">
      <c r="A33" s="5" t="s">
        <v>21</v>
      </c>
      <c r="B33" s="39" t="s">
        <v>99</v>
      </c>
      <c r="C33" s="34">
        <f t="shared" si="8"/>
        <v>22</v>
      </c>
      <c r="D33" s="35">
        <v>15</v>
      </c>
      <c r="E33" s="36">
        <v>7</v>
      </c>
      <c r="F33" s="37">
        <v>8</v>
      </c>
      <c r="G33" s="35">
        <f>1092+88</f>
        <v>1180</v>
      </c>
      <c r="H33" s="35">
        <f>1132+76</f>
        <v>1208</v>
      </c>
      <c r="I33" s="11">
        <f t="shared" si="10"/>
        <v>78.66666666666667</v>
      </c>
      <c r="J33" s="11">
        <f t="shared" si="11"/>
        <v>80.53333333333333</v>
      </c>
      <c r="K33" s="4">
        <f t="shared" si="9"/>
        <v>-28</v>
      </c>
    </row>
    <row r="34" spans="1:11" ht="15.75">
      <c r="A34" s="5" t="s">
        <v>21</v>
      </c>
      <c r="B34" s="39" t="s">
        <v>173</v>
      </c>
      <c r="C34" s="34">
        <f t="shared" si="8"/>
        <v>22</v>
      </c>
      <c r="D34" s="35">
        <v>15</v>
      </c>
      <c r="E34" s="36">
        <v>7</v>
      </c>
      <c r="F34" s="37">
        <v>8</v>
      </c>
      <c r="G34" s="35">
        <f>963+56</f>
        <v>1019</v>
      </c>
      <c r="H34" s="35">
        <f>1012+57</f>
        <v>1069</v>
      </c>
      <c r="I34" s="11">
        <f t="shared" si="10"/>
        <v>67.93333333333334</v>
      </c>
      <c r="J34" s="11">
        <f t="shared" si="11"/>
        <v>71.26666666666667</v>
      </c>
      <c r="K34" s="4">
        <f t="shared" si="9"/>
        <v>-50</v>
      </c>
    </row>
    <row r="35" spans="1:11" ht="15.75">
      <c r="A35" s="5" t="s">
        <v>21</v>
      </c>
      <c r="B35" s="33" t="s">
        <v>174</v>
      </c>
      <c r="C35" s="34">
        <f t="shared" si="8"/>
        <v>21</v>
      </c>
      <c r="D35" s="35">
        <v>15</v>
      </c>
      <c r="E35" s="36">
        <v>6</v>
      </c>
      <c r="F35" s="37">
        <v>9</v>
      </c>
      <c r="G35" s="35">
        <f>989+81</f>
        <v>1070</v>
      </c>
      <c r="H35" s="35">
        <f>1009+76</f>
        <v>1085</v>
      </c>
      <c r="I35" s="11">
        <f t="shared" si="10"/>
        <v>71.33333333333333</v>
      </c>
      <c r="J35" s="11">
        <f t="shared" si="11"/>
        <v>72.33333333333333</v>
      </c>
      <c r="K35" s="4">
        <f t="shared" si="9"/>
        <v>-15</v>
      </c>
    </row>
    <row r="36" spans="1:11" ht="15.75">
      <c r="A36" s="5" t="s">
        <v>21</v>
      </c>
      <c r="B36" s="39" t="s">
        <v>96</v>
      </c>
      <c r="C36" s="34">
        <f t="shared" si="8"/>
        <v>21</v>
      </c>
      <c r="D36" s="35">
        <v>15</v>
      </c>
      <c r="E36" s="36">
        <v>6</v>
      </c>
      <c r="F36" s="37">
        <v>9</v>
      </c>
      <c r="G36" s="35">
        <f>1114+76</f>
        <v>1190</v>
      </c>
      <c r="H36" s="35">
        <f>1090+81</f>
        <v>1171</v>
      </c>
      <c r="I36" s="11">
        <f t="shared" si="10"/>
        <v>79.33333333333333</v>
      </c>
      <c r="J36" s="11">
        <f t="shared" si="11"/>
        <v>78.06666666666666</v>
      </c>
      <c r="K36" s="4">
        <f t="shared" si="9"/>
        <v>19</v>
      </c>
    </row>
    <row r="37" spans="1:11" ht="15.75">
      <c r="A37" s="5" t="s">
        <v>21</v>
      </c>
      <c r="B37" s="33" t="s">
        <v>175</v>
      </c>
      <c r="C37" s="34">
        <f t="shared" si="8"/>
        <v>20</v>
      </c>
      <c r="D37" s="35">
        <v>15</v>
      </c>
      <c r="E37" s="36">
        <v>5</v>
      </c>
      <c r="F37" s="37">
        <v>10</v>
      </c>
      <c r="G37" s="35">
        <f>911+57</f>
        <v>968</v>
      </c>
      <c r="H37" s="35">
        <f>1062+56</f>
        <v>1118</v>
      </c>
      <c r="I37" s="11">
        <f t="shared" si="10"/>
        <v>64.53333333333333</v>
      </c>
      <c r="J37" s="11">
        <f t="shared" si="11"/>
        <v>74.53333333333333</v>
      </c>
      <c r="K37" s="4">
        <f t="shared" si="9"/>
        <v>-150</v>
      </c>
    </row>
    <row r="38" spans="1:11" ht="15.75">
      <c r="A38" s="5" t="s">
        <v>21</v>
      </c>
      <c r="B38" s="33" t="s">
        <v>25</v>
      </c>
      <c r="C38" s="34">
        <f t="shared" si="8"/>
        <v>19</v>
      </c>
      <c r="D38" s="35">
        <v>15</v>
      </c>
      <c r="E38" s="36">
        <v>4</v>
      </c>
      <c r="F38" s="37">
        <v>11</v>
      </c>
      <c r="G38" s="35">
        <f>1042+48</f>
        <v>1090</v>
      </c>
      <c r="H38" s="35">
        <v>1271</v>
      </c>
      <c r="I38" s="11">
        <f t="shared" si="10"/>
        <v>72.66666666666667</v>
      </c>
      <c r="J38" s="11">
        <f t="shared" si="11"/>
        <v>84.73333333333333</v>
      </c>
      <c r="K38" s="4">
        <f t="shared" si="9"/>
        <v>-181</v>
      </c>
    </row>
    <row r="39" spans="1:13" ht="15.75">
      <c r="A39" s="5" t="s">
        <v>21</v>
      </c>
      <c r="B39" s="38" t="s">
        <v>101</v>
      </c>
      <c r="C39" s="34">
        <f t="shared" si="8"/>
        <v>16</v>
      </c>
      <c r="D39" s="35">
        <v>15</v>
      </c>
      <c r="E39" s="36">
        <v>1</v>
      </c>
      <c r="F39" s="37">
        <v>14</v>
      </c>
      <c r="G39" s="35">
        <f>1025+76</f>
        <v>1101</v>
      </c>
      <c r="H39" s="35">
        <f>1303+88</f>
        <v>1391</v>
      </c>
      <c r="I39" s="11">
        <f t="shared" si="10"/>
        <v>73.4</v>
      </c>
      <c r="J39" s="11">
        <f t="shared" si="11"/>
        <v>92.73333333333333</v>
      </c>
      <c r="K39" s="4">
        <f t="shared" si="9"/>
        <v>-290</v>
      </c>
      <c r="L39" s="2"/>
      <c r="M39" s="1">
        <f>SUM(I28:I39)/12</f>
        <v>76.35000000000001</v>
      </c>
    </row>
    <row r="40" spans="3:11" ht="16.5" customHeight="1">
      <c r="C40" s="16"/>
      <c r="D40" s="3"/>
      <c r="E40" s="16"/>
      <c r="F40" s="16"/>
      <c r="G40" s="3"/>
      <c r="H40" s="3"/>
      <c r="I40" s="11"/>
      <c r="J40" s="11"/>
      <c r="K40" s="4"/>
    </row>
    <row r="41" spans="1:11" ht="15.75">
      <c r="A41" s="5" t="s">
        <v>24</v>
      </c>
      <c r="B41" s="33" t="s">
        <v>30</v>
      </c>
      <c r="C41" s="34">
        <f>D41+E41</f>
        <v>27</v>
      </c>
      <c r="D41" s="35">
        <v>15</v>
      </c>
      <c r="E41" s="36">
        <v>12</v>
      </c>
      <c r="F41" s="37">
        <v>3</v>
      </c>
      <c r="G41" s="35">
        <f>1088+70</f>
        <v>1158</v>
      </c>
      <c r="H41" s="35">
        <f>870+61</f>
        <v>931</v>
      </c>
      <c r="I41" s="11">
        <f>G41/D41</f>
        <v>77.2</v>
      </c>
      <c r="J41" s="11">
        <f>H41/D41</f>
        <v>62.06666666666667</v>
      </c>
      <c r="K41" s="4">
        <f aca="true" t="shared" si="12" ref="K41:K52">G41-H41</f>
        <v>227</v>
      </c>
    </row>
    <row r="42" spans="1:11" ht="15.75">
      <c r="A42" s="5" t="s">
        <v>24</v>
      </c>
      <c r="B42" s="33" t="s">
        <v>59</v>
      </c>
      <c r="C42" s="34">
        <f>D42+E42</f>
        <v>26</v>
      </c>
      <c r="D42" s="35">
        <v>15</v>
      </c>
      <c r="E42" s="36">
        <v>11</v>
      </c>
      <c r="F42" s="37">
        <v>4</v>
      </c>
      <c r="G42" s="35">
        <f>1104+80</f>
        <v>1184</v>
      </c>
      <c r="H42" s="35">
        <f>1017+58</f>
        <v>1075</v>
      </c>
      <c r="I42" s="11">
        <f aca="true" t="shared" si="13" ref="I42:I52">G42/D42</f>
        <v>78.93333333333334</v>
      </c>
      <c r="J42" s="11">
        <f aca="true" t="shared" si="14" ref="J42:J52">H42/D42</f>
        <v>71.66666666666667</v>
      </c>
      <c r="K42" s="4">
        <f t="shared" si="12"/>
        <v>109</v>
      </c>
    </row>
    <row r="43" spans="1:11" ht="15.75">
      <c r="A43" s="5" t="s">
        <v>24</v>
      </c>
      <c r="B43" s="39" t="s">
        <v>86</v>
      </c>
      <c r="C43" s="34">
        <f>D43+E43</f>
        <v>25</v>
      </c>
      <c r="D43" s="35">
        <v>15</v>
      </c>
      <c r="E43" s="36">
        <v>10</v>
      </c>
      <c r="F43" s="37">
        <v>5</v>
      </c>
      <c r="G43" s="35">
        <f>1119+61</f>
        <v>1180</v>
      </c>
      <c r="H43" s="35">
        <f>996+70</f>
        <v>1066</v>
      </c>
      <c r="I43" s="11">
        <f t="shared" si="13"/>
        <v>78.66666666666667</v>
      </c>
      <c r="J43" s="11">
        <f t="shared" si="14"/>
        <v>71.06666666666666</v>
      </c>
      <c r="K43" s="4">
        <f t="shared" si="12"/>
        <v>114</v>
      </c>
    </row>
    <row r="44" spans="1:11" ht="15.75">
      <c r="A44" s="5" t="s">
        <v>24</v>
      </c>
      <c r="B44" s="38" t="s">
        <v>205</v>
      </c>
      <c r="C44" s="34">
        <f aca="true" t="shared" si="15" ref="C44:C52">D44+E44</f>
        <v>25</v>
      </c>
      <c r="D44" s="35">
        <v>15</v>
      </c>
      <c r="E44" s="36">
        <v>10</v>
      </c>
      <c r="F44" s="37">
        <v>5</v>
      </c>
      <c r="G44" s="35">
        <f>1165+94</f>
        <v>1259</v>
      </c>
      <c r="H44" s="35">
        <f>1120+84</f>
        <v>1204</v>
      </c>
      <c r="I44" s="11">
        <f t="shared" si="13"/>
        <v>83.93333333333334</v>
      </c>
      <c r="J44" s="11">
        <f t="shared" si="14"/>
        <v>80.26666666666667</v>
      </c>
      <c r="K44" s="4">
        <f t="shared" si="12"/>
        <v>55</v>
      </c>
    </row>
    <row r="45" spans="1:11" ht="15.75">
      <c r="A45" s="5" t="s">
        <v>24</v>
      </c>
      <c r="B45" s="33" t="s">
        <v>206</v>
      </c>
      <c r="C45" s="34">
        <f t="shared" si="15"/>
        <v>24</v>
      </c>
      <c r="D45" s="35">
        <v>15</v>
      </c>
      <c r="E45" s="36">
        <v>9</v>
      </c>
      <c r="F45" s="37">
        <v>6</v>
      </c>
      <c r="G45" s="35">
        <v>1299</v>
      </c>
      <c r="H45" s="35">
        <f>1146+72</f>
        <v>1218</v>
      </c>
      <c r="I45" s="11">
        <f t="shared" si="13"/>
        <v>86.6</v>
      </c>
      <c r="J45" s="11">
        <f t="shared" si="14"/>
        <v>81.2</v>
      </c>
      <c r="K45" s="4">
        <f t="shared" si="12"/>
        <v>81</v>
      </c>
    </row>
    <row r="46" spans="1:11" ht="15.75">
      <c r="A46" s="5" t="s">
        <v>24</v>
      </c>
      <c r="B46" s="51" t="s">
        <v>85</v>
      </c>
      <c r="C46" s="34">
        <f t="shared" si="15"/>
        <v>21</v>
      </c>
      <c r="D46" s="35">
        <v>14</v>
      </c>
      <c r="E46" s="36">
        <v>7</v>
      </c>
      <c r="F46" s="37">
        <v>7</v>
      </c>
      <c r="G46" s="35">
        <f>996+95</f>
        <v>1091</v>
      </c>
      <c r="H46" s="35">
        <f>980+64</f>
        <v>1044</v>
      </c>
      <c r="I46" s="11">
        <f t="shared" si="13"/>
        <v>77.92857142857143</v>
      </c>
      <c r="J46" s="11">
        <f t="shared" si="14"/>
        <v>74.57142857142857</v>
      </c>
      <c r="K46" s="4">
        <f t="shared" si="12"/>
        <v>47</v>
      </c>
    </row>
    <row r="47" spans="1:11" ht="15.75">
      <c r="A47" s="5" t="s">
        <v>24</v>
      </c>
      <c r="B47" s="33" t="s">
        <v>87</v>
      </c>
      <c r="C47" s="34">
        <f t="shared" si="15"/>
        <v>21</v>
      </c>
      <c r="D47" s="35">
        <v>14</v>
      </c>
      <c r="E47" s="36">
        <v>7</v>
      </c>
      <c r="F47" s="37">
        <v>7</v>
      </c>
      <c r="G47" s="35">
        <f>997+58</f>
        <v>1055</v>
      </c>
      <c r="H47" s="35">
        <f>995+80</f>
        <v>1075</v>
      </c>
      <c r="I47" s="11">
        <f t="shared" si="13"/>
        <v>75.35714285714286</v>
      </c>
      <c r="J47" s="11">
        <f t="shared" si="14"/>
        <v>76.78571428571429</v>
      </c>
      <c r="K47" s="4">
        <f t="shared" si="12"/>
        <v>-20</v>
      </c>
    </row>
    <row r="48" spans="1:11" ht="15.75">
      <c r="A48" s="5" t="s">
        <v>24</v>
      </c>
      <c r="B48" s="39" t="s">
        <v>89</v>
      </c>
      <c r="C48" s="34">
        <f t="shared" si="15"/>
        <v>21</v>
      </c>
      <c r="D48" s="35">
        <v>15</v>
      </c>
      <c r="E48" s="36">
        <v>6</v>
      </c>
      <c r="F48" s="37">
        <v>9</v>
      </c>
      <c r="G48" s="35">
        <f>1020+90</f>
        <v>1110</v>
      </c>
      <c r="H48" s="35">
        <f>1110+89</f>
        <v>1199</v>
      </c>
      <c r="I48" s="11">
        <f t="shared" si="13"/>
        <v>74</v>
      </c>
      <c r="J48" s="11">
        <f t="shared" si="14"/>
        <v>79.93333333333334</v>
      </c>
      <c r="K48" s="4">
        <f t="shared" si="12"/>
        <v>-89</v>
      </c>
    </row>
    <row r="49" spans="1:11" ht="15.75">
      <c r="A49" s="5" t="s">
        <v>24</v>
      </c>
      <c r="B49" s="39" t="s">
        <v>92</v>
      </c>
      <c r="C49" s="34">
        <f t="shared" si="15"/>
        <v>21</v>
      </c>
      <c r="D49" s="35">
        <v>15</v>
      </c>
      <c r="E49" s="36">
        <v>6</v>
      </c>
      <c r="F49" s="37">
        <v>9</v>
      </c>
      <c r="G49" s="35">
        <f>1080+84</f>
        <v>1164</v>
      </c>
      <c r="H49" s="35">
        <f>1172+94</f>
        <v>1266</v>
      </c>
      <c r="I49" s="11">
        <f t="shared" si="13"/>
        <v>77.6</v>
      </c>
      <c r="J49" s="11">
        <f t="shared" si="14"/>
        <v>84.4</v>
      </c>
      <c r="K49" s="4">
        <f t="shared" si="12"/>
        <v>-102</v>
      </c>
    </row>
    <row r="50" spans="1:11" ht="15.75">
      <c r="A50" s="5" t="s">
        <v>24</v>
      </c>
      <c r="B50" s="33" t="s">
        <v>88</v>
      </c>
      <c r="C50" s="34">
        <f t="shared" si="15"/>
        <v>21</v>
      </c>
      <c r="D50" s="35">
        <v>15</v>
      </c>
      <c r="E50" s="36">
        <v>6</v>
      </c>
      <c r="F50" s="37">
        <v>9</v>
      </c>
      <c r="G50" s="35">
        <f>1128+89</f>
        <v>1217</v>
      </c>
      <c r="H50" s="35">
        <f>1210+90</f>
        <v>1300</v>
      </c>
      <c r="I50" s="11">
        <f t="shared" si="13"/>
        <v>81.13333333333334</v>
      </c>
      <c r="J50" s="11">
        <f t="shared" si="14"/>
        <v>86.66666666666667</v>
      </c>
      <c r="K50" s="4">
        <f t="shared" si="12"/>
        <v>-83</v>
      </c>
    </row>
    <row r="51" spans="1:11" ht="15.75">
      <c r="A51" s="5" t="s">
        <v>24</v>
      </c>
      <c r="B51" s="33" t="s">
        <v>90</v>
      </c>
      <c r="C51" s="34">
        <f t="shared" si="15"/>
        <v>19</v>
      </c>
      <c r="D51" s="35">
        <v>15</v>
      </c>
      <c r="E51" s="36">
        <v>4</v>
      </c>
      <c r="F51" s="37">
        <v>11</v>
      </c>
      <c r="G51" s="35">
        <f>979+72</f>
        <v>1051</v>
      </c>
      <c r="H51" s="35">
        <v>1156</v>
      </c>
      <c r="I51" s="11">
        <f t="shared" si="13"/>
        <v>70.06666666666666</v>
      </c>
      <c r="J51" s="11">
        <f t="shared" si="14"/>
        <v>77.06666666666666</v>
      </c>
      <c r="K51" s="4">
        <f t="shared" si="12"/>
        <v>-105</v>
      </c>
    </row>
    <row r="52" spans="1:13" ht="15.75">
      <c r="A52" s="5" t="s">
        <v>24</v>
      </c>
      <c r="B52" s="39" t="s">
        <v>207</v>
      </c>
      <c r="C52" s="34">
        <f t="shared" si="15"/>
        <v>16</v>
      </c>
      <c r="D52" s="35">
        <v>15</v>
      </c>
      <c r="E52" s="36">
        <v>1</v>
      </c>
      <c r="F52" s="37">
        <v>14</v>
      </c>
      <c r="G52" s="35">
        <f>952+64</f>
        <v>1016</v>
      </c>
      <c r="H52" s="35">
        <f>1155+95</f>
        <v>1250</v>
      </c>
      <c r="I52" s="11">
        <f t="shared" si="13"/>
        <v>67.73333333333333</v>
      </c>
      <c r="J52" s="11">
        <f t="shared" si="14"/>
        <v>83.33333333333333</v>
      </c>
      <c r="K52" s="4">
        <f t="shared" si="12"/>
        <v>-234</v>
      </c>
      <c r="L52" s="2"/>
      <c r="M52" s="1">
        <f>SUM(I41:I52)/12</f>
        <v>77.42936507936508</v>
      </c>
    </row>
    <row r="53" spans="3:11" ht="19.5" customHeight="1">
      <c r="C53" s="16"/>
      <c r="D53" s="3"/>
      <c r="E53" s="16"/>
      <c r="F53" s="16"/>
      <c r="G53" s="3"/>
      <c r="H53" s="3"/>
      <c r="I53" s="11"/>
      <c r="J53" s="11"/>
      <c r="K53" s="4"/>
    </row>
    <row r="54" spans="1:11" ht="15.75">
      <c r="A54" s="5" t="s">
        <v>28</v>
      </c>
      <c r="B54" s="33" t="s">
        <v>58</v>
      </c>
      <c r="C54" s="34">
        <f aca="true" t="shared" si="16" ref="C54:C60">D54+E54</f>
        <v>30</v>
      </c>
      <c r="D54" s="35">
        <v>15</v>
      </c>
      <c r="E54" s="36">
        <v>15</v>
      </c>
      <c r="F54" s="37">
        <v>0</v>
      </c>
      <c r="G54" s="35">
        <f>1074+85</f>
        <v>1159</v>
      </c>
      <c r="H54" s="35">
        <f>902+56</f>
        <v>958</v>
      </c>
      <c r="I54" s="11">
        <f>G54/D54</f>
        <v>77.26666666666667</v>
      </c>
      <c r="J54" s="11">
        <f>H54/D54</f>
        <v>63.86666666666667</v>
      </c>
      <c r="K54" s="4">
        <f aca="true" t="shared" si="17" ref="K54:K65">G54-H54</f>
        <v>201</v>
      </c>
    </row>
    <row r="55" spans="1:11" ht="15.75">
      <c r="A55" s="5" t="s">
        <v>28</v>
      </c>
      <c r="B55" s="33" t="s">
        <v>33</v>
      </c>
      <c r="C55" s="34">
        <f t="shared" si="16"/>
        <v>27</v>
      </c>
      <c r="D55" s="35">
        <v>15</v>
      </c>
      <c r="E55" s="36">
        <v>12</v>
      </c>
      <c r="F55" s="37">
        <v>3</v>
      </c>
      <c r="G55" s="35">
        <f>1081+85</f>
        <v>1166</v>
      </c>
      <c r="H55" s="35">
        <f>952+67</f>
        <v>1019</v>
      </c>
      <c r="I55" s="11">
        <f aca="true" t="shared" si="18" ref="I55:I65">G55/D55</f>
        <v>77.73333333333333</v>
      </c>
      <c r="J55" s="11">
        <f aca="true" t="shared" si="19" ref="J55:J65">H55/D55</f>
        <v>67.93333333333334</v>
      </c>
      <c r="K55" s="4">
        <f t="shared" si="17"/>
        <v>147</v>
      </c>
    </row>
    <row r="56" spans="1:11" ht="15.75">
      <c r="A56" s="5" t="s">
        <v>28</v>
      </c>
      <c r="B56" s="51" t="s">
        <v>204</v>
      </c>
      <c r="C56" s="34">
        <f t="shared" si="16"/>
        <v>25</v>
      </c>
      <c r="D56" s="35">
        <v>15</v>
      </c>
      <c r="E56" s="36">
        <v>10</v>
      </c>
      <c r="F56" s="37">
        <v>5</v>
      </c>
      <c r="G56" s="35">
        <f>1156+99</f>
        <v>1255</v>
      </c>
      <c r="H56" s="35">
        <f>1069+67</f>
        <v>1136</v>
      </c>
      <c r="I56" s="11">
        <f t="shared" si="18"/>
        <v>83.66666666666667</v>
      </c>
      <c r="J56" s="11">
        <f t="shared" si="19"/>
        <v>75.73333333333333</v>
      </c>
      <c r="K56" s="4">
        <f t="shared" si="17"/>
        <v>119</v>
      </c>
    </row>
    <row r="57" spans="1:11" ht="15.75">
      <c r="A57" s="5" t="s">
        <v>28</v>
      </c>
      <c r="B57" s="33" t="s">
        <v>27</v>
      </c>
      <c r="C57" s="34">
        <f t="shared" si="16"/>
        <v>25</v>
      </c>
      <c r="D57" s="35">
        <v>15</v>
      </c>
      <c r="E57" s="36">
        <v>10</v>
      </c>
      <c r="F57" s="37">
        <v>5</v>
      </c>
      <c r="G57" s="35">
        <f>1196+102</f>
        <v>1298</v>
      </c>
      <c r="H57" s="35">
        <f>1129+99</f>
        <v>1228</v>
      </c>
      <c r="I57" s="11">
        <f t="shared" si="18"/>
        <v>86.53333333333333</v>
      </c>
      <c r="J57" s="11">
        <f t="shared" si="19"/>
        <v>81.86666666666666</v>
      </c>
      <c r="K57" s="4">
        <f t="shared" si="17"/>
        <v>70</v>
      </c>
    </row>
    <row r="58" spans="1:11" ht="15.75">
      <c r="A58" s="5" t="s">
        <v>28</v>
      </c>
      <c r="B58" s="33" t="s">
        <v>79</v>
      </c>
      <c r="C58" s="34">
        <f t="shared" si="16"/>
        <v>23</v>
      </c>
      <c r="D58" s="35">
        <v>15</v>
      </c>
      <c r="E58" s="36">
        <v>8</v>
      </c>
      <c r="F58" s="37">
        <v>7</v>
      </c>
      <c r="G58" s="35">
        <f>1156+99</f>
        <v>1255</v>
      </c>
      <c r="H58" s="35">
        <f>1074+102</f>
        <v>1176</v>
      </c>
      <c r="I58" s="11">
        <f t="shared" si="18"/>
        <v>83.66666666666667</v>
      </c>
      <c r="J58" s="11">
        <f t="shared" si="19"/>
        <v>78.4</v>
      </c>
      <c r="K58" s="4">
        <f t="shared" si="17"/>
        <v>79</v>
      </c>
    </row>
    <row r="59" spans="1:11" ht="15.75">
      <c r="A59" s="5" t="s">
        <v>28</v>
      </c>
      <c r="B59" s="33" t="s">
        <v>34</v>
      </c>
      <c r="C59" s="34">
        <f t="shared" si="16"/>
        <v>23</v>
      </c>
      <c r="D59" s="35">
        <v>15</v>
      </c>
      <c r="E59" s="36">
        <v>8</v>
      </c>
      <c r="F59" s="37">
        <v>7</v>
      </c>
      <c r="G59" s="35">
        <f>1205+67</f>
        <v>1272</v>
      </c>
      <c r="H59" s="35">
        <f>1201+85</f>
        <v>1286</v>
      </c>
      <c r="I59" s="11">
        <f t="shared" si="18"/>
        <v>84.8</v>
      </c>
      <c r="J59" s="11">
        <f t="shared" si="19"/>
        <v>85.73333333333333</v>
      </c>
      <c r="K59" s="4">
        <f t="shared" si="17"/>
        <v>-14</v>
      </c>
    </row>
    <row r="60" spans="1:11" ht="15.75">
      <c r="A60" s="5" t="s">
        <v>28</v>
      </c>
      <c r="B60" s="38" t="s">
        <v>22</v>
      </c>
      <c r="C60" s="34">
        <f t="shared" si="16"/>
        <v>22</v>
      </c>
      <c r="D60" s="35">
        <v>15</v>
      </c>
      <c r="E60" s="36">
        <v>7</v>
      </c>
      <c r="F60" s="37">
        <v>8</v>
      </c>
      <c r="G60" s="35">
        <f>1049+87</f>
        <v>1136</v>
      </c>
      <c r="H60" s="35">
        <f>1049+65</f>
        <v>1114</v>
      </c>
      <c r="I60" s="11">
        <f t="shared" si="18"/>
        <v>75.73333333333333</v>
      </c>
      <c r="J60" s="11">
        <f t="shared" si="19"/>
        <v>74.26666666666667</v>
      </c>
      <c r="K60" s="4">
        <f t="shared" si="17"/>
        <v>22</v>
      </c>
    </row>
    <row r="61" spans="1:11" ht="15.75">
      <c r="A61" s="5" t="s">
        <v>28</v>
      </c>
      <c r="B61" s="33" t="s">
        <v>23</v>
      </c>
      <c r="C61" s="34">
        <f>D61+E61</f>
        <v>22</v>
      </c>
      <c r="D61" s="35">
        <v>15</v>
      </c>
      <c r="E61" s="36">
        <v>7</v>
      </c>
      <c r="F61" s="37">
        <v>8</v>
      </c>
      <c r="G61" s="35">
        <f>1070+93</f>
        <v>1163</v>
      </c>
      <c r="H61" s="35">
        <f>1080+86</f>
        <v>1166</v>
      </c>
      <c r="I61" s="11">
        <f t="shared" si="18"/>
        <v>77.53333333333333</v>
      </c>
      <c r="J61" s="11">
        <f t="shared" si="19"/>
        <v>77.73333333333333</v>
      </c>
      <c r="K61" s="4">
        <f t="shared" si="17"/>
        <v>-3</v>
      </c>
    </row>
    <row r="62" spans="1:11" ht="15.75">
      <c r="A62" s="5" t="s">
        <v>28</v>
      </c>
      <c r="B62" s="33" t="s">
        <v>35</v>
      </c>
      <c r="C62" s="34">
        <f>D62+E62</f>
        <v>19</v>
      </c>
      <c r="D62" s="35">
        <v>15</v>
      </c>
      <c r="E62" s="36">
        <v>4</v>
      </c>
      <c r="F62" s="37">
        <v>11</v>
      </c>
      <c r="G62" s="35">
        <f>1013+67</f>
        <v>1080</v>
      </c>
      <c r="H62" s="35">
        <f>1169+99</f>
        <v>1268</v>
      </c>
      <c r="I62" s="11">
        <f t="shared" si="18"/>
        <v>72</v>
      </c>
      <c r="J62" s="11">
        <f t="shared" si="19"/>
        <v>84.53333333333333</v>
      </c>
      <c r="K62" s="4">
        <f t="shared" si="17"/>
        <v>-188</v>
      </c>
    </row>
    <row r="63" spans="1:11" ht="15.75">
      <c r="A63" s="5" t="s">
        <v>28</v>
      </c>
      <c r="B63" s="33" t="s">
        <v>80</v>
      </c>
      <c r="C63" s="34">
        <f>D63+E63</f>
        <v>19</v>
      </c>
      <c r="D63" s="35">
        <v>15</v>
      </c>
      <c r="E63" s="36">
        <v>4</v>
      </c>
      <c r="F63" s="37">
        <v>11</v>
      </c>
      <c r="G63" s="35">
        <f>959+86</f>
        <v>1045</v>
      </c>
      <c r="H63" s="35">
        <f>1057+93</f>
        <v>1150</v>
      </c>
      <c r="I63" s="11">
        <f t="shared" si="18"/>
        <v>69.66666666666667</v>
      </c>
      <c r="J63" s="11">
        <f t="shared" si="19"/>
        <v>76.66666666666667</v>
      </c>
      <c r="K63" s="4">
        <f t="shared" si="17"/>
        <v>-105</v>
      </c>
    </row>
    <row r="64" spans="1:12" ht="15.75">
      <c r="A64" s="5" t="s">
        <v>28</v>
      </c>
      <c r="B64" s="39" t="s">
        <v>81</v>
      </c>
      <c r="C64" s="34">
        <f>D64+E64</f>
        <v>18</v>
      </c>
      <c r="D64" s="35">
        <v>15</v>
      </c>
      <c r="E64" s="36">
        <v>3</v>
      </c>
      <c r="F64" s="37">
        <v>12</v>
      </c>
      <c r="G64" s="35">
        <f>970+65</f>
        <v>1035</v>
      </c>
      <c r="H64" s="35">
        <f>1142+87</f>
        <v>1229</v>
      </c>
      <c r="I64" s="11">
        <f t="shared" si="18"/>
        <v>69</v>
      </c>
      <c r="J64" s="11">
        <f t="shared" si="19"/>
        <v>81.93333333333334</v>
      </c>
      <c r="K64" s="4">
        <f t="shared" si="17"/>
        <v>-194</v>
      </c>
      <c r="L64" s="2"/>
    </row>
    <row r="65" spans="1:13" ht="15.75">
      <c r="A65" s="5" t="s">
        <v>28</v>
      </c>
      <c r="B65" s="33" t="s">
        <v>26</v>
      </c>
      <c r="C65" s="34">
        <f>D65+E65</f>
        <v>17</v>
      </c>
      <c r="D65" s="35">
        <v>15</v>
      </c>
      <c r="E65" s="36">
        <v>2</v>
      </c>
      <c r="F65" s="37">
        <v>13</v>
      </c>
      <c r="G65" s="35">
        <f>938+56</f>
        <v>994</v>
      </c>
      <c r="H65" s="35">
        <f>1043+85</f>
        <v>1128</v>
      </c>
      <c r="I65" s="11">
        <f t="shared" si="18"/>
        <v>66.26666666666667</v>
      </c>
      <c r="J65" s="11">
        <f t="shared" si="19"/>
        <v>75.2</v>
      </c>
      <c r="K65" s="4">
        <f t="shared" si="17"/>
        <v>-134</v>
      </c>
      <c r="L65" s="2"/>
      <c r="M65" s="1">
        <f>SUM(I54:I65)/12</f>
        <v>76.9888888888889</v>
      </c>
    </row>
    <row r="66" spans="3:11" ht="23.25" customHeight="1">
      <c r="C66" s="16"/>
      <c r="D66" s="3"/>
      <c r="E66" s="16"/>
      <c r="F66" s="16"/>
      <c r="G66" s="3"/>
      <c r="H66" s="3"/>
      <c r="I66" s="11"/>
      <c r="J66" s="11"/>
      <c r="K66" s="4"/>
    </row>
    <row r="67" spans="1:11" ht="15.75">
      <c r="A67" s="5" t="s">
        <v>32</v>
      </c>
      <c r="B67" s="38" t="s">
        <v>200</v>
      </c>
      <c r="C67" s="34">
        <f aca="true" t="shared" si="20" ref="C67:C78">D67+E67</f>
        <v>26</v>
      </c>
      <c r="D67" s="35">
        <v>15</v>
      </c>
      <c r="E67" s="36">
        <v>11</v>
      </c>
      <c r="F67" s="37">
        <v>4</v>
      </c>
      <c r="G67" s="35">
        <f>1154+96</f>
        <v>1250</v>
      </c>
      <c r="H67" s="35">
        <f>1052+70</f>
        <v>1122</v>
      </c>
      <c r="I67" s="11">
        <f>G67/D67</f>
        <v>83.33333333333333</v>
      </c>
      <c r="J67" s="11">
        <f>H67/D67</f>
        <v>74.8</v>
      </c>
      <c r="K67" s="4">
        <f aca="true" t="shared" si="21" ref="K67:K78">G67-H67</f>
        <v>128</v>
      </c>
    </row>
    <row r="68" spans="1:11" ht="15.75">
      <c r="A68" s="5" t="s">
        <v>32</v>
      </c>
      <c r="B68" s="33" t="s">
        <v>62</v>
      </c>
      <c r="C68" s="34">
        <f t="shared" si="20"/>
        <v>26</v>
      </c>
      <c r="D68" s="35">
        <v>15</v>
      </c>
      <c r="E68" s="36">
        <v>11</v>
      </c>
      <c r="F68" s="37">
        <v>4</v>
      </c>
      <c r="G68" s="35">
        <f>1224+112</f>
        <v>1336</v>
      </c>
      <c r="H68" s="35">
        <f>1130+61</f>
        <v>1191</v>
      </c>
      <c r="I68" s="11">
        <f aca="true" t="shared" si="22" ref="I68:I78">G68/D68</f>
        <v>89.06666666666666</v>
      </c>
      <c r="J68" s="11">
        <f aca="true" t="shared" si="23" ref="J68:J78">H68/D68</f>
        <v>79.4</v>
      </c>
      <c r="K68" s="4">
        <f t="shared" si="21"/>
        <v>145</v>
      </c>
    </row>
    <row r="69" spans="1:11" ht="15.75">
      <c r="A69" s="5" t="s">
        <v>32</v>
      </c>
      <c r="B69" s="40" t="s">
        <v>201</v>
      </c>
      <c r="C69" s="34">
        <f t="shared" si="20"/>
        <v>25</v>
      </c>
      <c r="D69" s="35">
        <v>15</v>
      </c>
      <c r="E69" s="36">
        <v>10</v>
      </c>
      <c r="F69" s="37">
        <v>5</v>
      </c>
      <c r="G69" s="35">
        <f>1157+67</f>
        <v>1224</v>
      </c>
      <c r="H69" s="35">
        <f>992+84</f>
        <v>1076</v>
      </c>
      <c r="I69" s="11">
        <f t="shared" si="22"/>
        <v>81.6</v>
      </c>
      <c r="J69" s="11">
        <f t="shared" si="23"/>
        <v>71.73333333333333</v>
      </c>
      <c r="K69" s="4">
        <f t="shared" si="21"/>
        <v>148</v>
      </c>
    </row>
    <row r="70" spans="1:11" ht="15.75">
      <c r="A70" s="5" t="s">
        <v>32</v>
      </c>
      <c r="B70" s="33" t="s">
        <v>63</v>
      </c>
      <c r="C70" s="34">
        <f t="shared" si="20"/>
        <v>25</v>
      </c>
      <c r="D70" s="35">
        <v>15</v>
      </c>
      <c r="E70" s="36">
        <v>10</v>
      </c>
      <c r="F70" s="37">
        <v>5</v>
      </c>
      <c r="G70" s="35">
        <f>1030+58</f>
        <v>1088</v>
      </c>
      <c r="H70" s="35">
        <f>929+55</f>
        <v>984</v>
      </c>
      <c r="I70" s="11">
        <f t="shared" si="22"/>
        <v>72.53333333333333</v>
      </c>
      <c r="J70" s="11">
        <f t="shared" si="23"/>
        <v>65.6</v>
      </c>
      <c r="K70" s="4">
        <f t="shared" si="21"/>
        <v>104</v>
      </c>
    </row>
    <row r="71" spans="1:11" ht="15.75">
      <c r="A71" s="5" t="s">
        <v>32</v>
      </c>
      <c r="B71" s="33" t="s">
        <v>60</v>
      </c>
      <c r="C71" s="34">
        <f t="shared" si="20"/>
        <v>24</v>
      </c>
      <c r="D71" s="35">
        <v>15</v>
      </c>
      <c r="E71" s="36">
        <v>9</v>
      </c>
      <c r="F71" s="37">
        <v>6</v>
      </c>
      <c r="G71" s="35">
        <f>1070+82</f>
        <v>1152</v>
      </c>
      <c r="H71" s="35">
        <f>960+76</f>
        <v>1036</v>
      </c>
      <c r="I71" s="11">
        <f t="shared" si="22"/>
        <v>76.8</v>
      </c>
      <c r="J71" s="11">
        <f t="shared" si="23"/>
        <v>69.06666666666666</v>
      </c>
      <c r="K71" s="4">
        <f t="shared" si="21"/>
        <v>116</v>
      </c>
    </row>
    <row r="72" spans="1:11" ht="15.75">
      <c r="A72" s="5" t="s">
        <v>32</v>
      </c>
      <c r="B72" s="38" t="s">
        <v>202</v>
      </c>
      <c r="C72" s="34">
        <f t="shared" si="20"/>
        <v>23</v>
      </c>
      <c r="D72" s="35">
        <v>15</v>
      </c>
      <c r="E72" s="36">
        <v>8</v>
      </c>
      <c r="F72" s="37">
        <v>7</v>
      </c>
      <c r="G72" s="35">
        <f>1072+84</f>
        <v>1156</v>
      </c>
      <c r="H72" s="35">
        <f>1136+67</f>
        <v>1203</v>
      </c>
      <c r="I72" s="11">
        <f t="shared" si="22"/>
        <v>77.06666666666666</v>
      </c>
      <c r="J72" s="11">
        <f t="shared" si="23"/>
        <v>80.2</v>
      </c>
      <c r="K72" s="4">
        <f t="shared" si="21"/>
        <v>-47</v>
      </c>
    </row>
    <row r="73" spans="1:11" ht="15.75">
      <c r="A73" s="5" t="s">
        <v>32</v>
      </c>
      <c r="B73" s="33" t="s">
        <v>75</v>
      </c>
      <c r="C73" s="34">
        <f t="shared" si="20"/>
        <v>23</v>
      </c>
      <c r="D73" s="35">
        <v>15</v>
      </c>
      <c r="E73" s="36">
        <v>8</v>
      </c>
      <c r="F73" s="37">
        <v>7</v>
      </c>
      <c r="G73" s="35">
        <f>1107+89</f>
        <v>1196</v>
      </c>
      <c r="H73" s="35">
        <f>1130+94</f>
        <v>1224</v>
      </c>
      <c r="I73" s="11">
        <f t="shared" si="22"/>
        <v>79.73333333333333</v>
      </c>
      <c r="J73" s="11">
        <f t="shared" si="23"/>
        <v>81.6</v>
      </c>
      <c r="K73" s="4">
        <f t="shared" si="21"/>
        <v>-28</v>
      </c>
    </row>
    <row r="74" spans="1:11" ht="15.75">
      <c r="A74" s="5" t="s">
        <v>32</v>
      </c>
      <c r="B74" s="33" t="s">
        <v>73</v>
      </c>
      <c r="C74" s="34">
        <f t="shared" si="20"/>
        <v>21</v>
      </c>
      <c r="D74" s="35">
        <v>15</v>
      </c>
      <c r="E74" s="36">
        <v>6</v>
      </c>
      <c r="F74" s="37">
        <v>9</v>
      </c>
      <c r="G74" s="35">
        <f>1030+76</f>
        <v>1106</v>
      </c>
      <c r="H74" s="35">
        <f>1088+82</f>
        <v>1170</v>
      </c>
      <c r="I74" s="11">
        <f t="shared" si="22"/>
        <v>73.73333333333333</v>
      </c>
      <c r="J74" s="11">
        <f t="shared" si="23"/>
        <v>78</v>
      </c>
      <c r="K74" s="4">
        <f t="shared" si="21"/>
        <v>-64</v>
      </c>
    </row>
    <row r="75" spans="1:12" ht="15.75">
      <c r="A75" s="5" t="s">
        <v>32</v>
      </c>
      <c r="B75" s="33" t="s">
        <v>31</v>
      </c>
      <c r="C75" s="34">
        <f t="shared" si="20"/>
        <v>20</v>
      </c>
      <c r="D75" s="35">
        <v>15</v>
      </c>
      <c r="E75" s="36">
        <v>5</v>
      </c>
      <c r="F75" s="37">
        <v>10</v>
      </c>
      <c r="G75" s="35">
        <f>942+55</f>
        <v>997</v>
      </c>
      <c r="H75" s="35">
        <f>993+58</f>
        <v>1051</v>
      </c>
      <c r="I75" s="11">
        <f t="shared" si="22"/>
        <v>66.46666666666667</v>
      </c>
      <c r="J75" s="11">
        <f t="shared" si="23"/>
        <v>70.06666666666666</v>
      </c>
      <c r="K75" s="4">
        <f t="shared" si="21"/>
        <v>-54</v>
      </c>
      <c r="L75" s="2"/>
    </row>
    <row r="76" spans="1:11" ht="15.75">
      <c r="A76" s="5" t="s">
        <v>32</v>
      </c>
      <c r="B76" s="39" t="s">
        <v>76</v>
      </c>
      <c r="C76" s="34">
        <f t="shared" si="20"/>
        <v>19</v>
      </c>
      <c r="D76" s="35">
        <v>15</v>
      </c>
      <c r="E76" s="36">
        <v>4</v>
      </c>
      <c r="F76" s="37">
        <v>11</v>
      </c>
      <c r="G76" s="35">
        <f>1040+94</f>
        <v>1134</v>
      </c>
      <c r="H76" s="35">
        <f>1184+89</f>
        <v>1273</v>
      </c>
      <c r="I76" s="11">
        <f t="shared" si="22"/>
        <v>75.6</v>
      </c>
      <c r="J76" s="11">
        <f t="shared" si="23"/>
        <v>84.86666666666666</v>
      </c>
      <c r="K76" s="4">
        <f t="shared" si="21"/>
        <v>-139</v>
      </c>
    </row>
    <row r="77" spans="1:11" ht="15.75">
      <c r="A77" s="5" t="s">
        <v>32</v>
      </c>
      <c r="B77" s="39" t="s">
        <v>77</v>
      </c>
      <c r="C77" s="34">
        <f t="shared" si="20"/>
        <v>19</v>
      </c>
      <c r="D77" s="35">
        <v>15</v>
      </c>
      <c r="E77" s="36">
        <v>4</v>
      </c>
      <c r="F77" s="37">
        <v>11</v>
      </c>
      <c r="G77" s="35">
        <f>1051+70</f>
        <v>1121</v>
      </c>
      <c r="H77" s="35">
        <f>1148+96</f>
        <v>1244</v>
      </c>
      <c r="I77" s="11">
        <f t="shared" si="22"/>
        <v>74.73333333333333</v>
      </c>
      <c r="J77" s="11">
        <f t="shared" si="23"/>
        <v>82.93333333333334</v>
      </c>
      <c r="K77" s="4">
        <f t="shared" si="21"/>
        <v>-123</v>
      </c>
    </row>
    <row r="78" spans="1:13" ht="15.75">
      <c r="A78" s="5" t="s">
        <v>32</v>
      </c>
      <c r="B78" s="39" t="s">
        <v>203</v>
      </c>
      <c r="C78" s="34">
        <f t="shared" si="20"/>
        <v>19</v>
      </c>
      <c r="D78" s="35">
        <v>15</v>
      </c>
      <c r="E78" s="36">
        <v>4</v>
      </c>
      <c r="F78" s="37">
        <v>11</v>
      </c>
      <c r="G78" s="35">
        <f>1018+61</f>
        <v>1079</v>
      </c>
      <c r="H78" s="35">
        <f>1153+112</f>
        <v>1265</v>
      </c>
      <c r="I78" s="11">
        <f t="shared" si="22"/>
        <v>71.93333333333334</v>
      </c>
      <c r="J78" s="11">
        <f t="shared" si="23"/>
        <v>84.33333333333333</v>
      </c>
      <c r="K78" s="4">
        <f t="shared" si="21"/>
        <v>-186</v>
      </c>
      <c r="M78" s="1">
        <f>SUM(I67:I78)/12</f>
        <v>76.88333333333334</v>
      </c>
    </row>
    <row r="79" spans="3:11" ht="23.25" customHeight="1">
      <c r="C79" s="16"/>
      <c r="D79" s="3"/>
      <c r="E79" s="16"/>
      <c r="F79" s="16"/>
      <c r="G79" s="3"/>
      <c r="H79" s="3"/>
      <c r="I79" s="11"/>
      <c r="J79" s="11"/>
      <c r="K79" s="4"/>
    </row>
    <row r="80" spans="1:11" ht="15.75">
      <c r="A80" s="5" t="s">
        <v>36</v>
      </c>
      <c r="B80" s="33" t="s">
        <v>195</v>
      </c>
      <c r="C80" s="34">
        <f aca="true" t="shared" si="24" ref="C80:C91">D80+E80</f>
        <v>29</v>
      </c>
      <c r="D80" s="35">
        <v>15</v>
      </c>
      <c r="E80" s="36">
        <v>14</v>
      </c>
      <c r="F80" s="37">
        <v>1</v>
      </c>
      <c r="G80" s="35">
        <f>1212+91</f>
        <v>1303</v>
      </c>
      <c r="H80" s="35">
        <f>1040+68</f>
        <v>1108</v>
      </c>
      <c r="I80" s="11">
        <f>G80/D80</f>
        <v>86.86666666666666</v>
      </c>
      <c r="J80" s="11">
        <f>H80/D80</f>
        <v>73.86666666666666</v>
      </c>
      <c r="K80" s="4">
        <f aca="true" t="shared" si="25" ref="K80:K85">G80-H80</f>
        <v>195</v>
      </c>
    </row>
    <row r="81" spans="1:11" ht="15.75">
      <c r="A81" s="5" t="s">
        <v>36</v>
      </c>
      <c r="B81" s="33" t="s">
        <v>61</v>
      </c>
      <c r="C81" s="34">
        <f t="shared" si="24"/>
        <v>28</v>
      </c>
      <c r="D81" s="35">
        <v>15</v>
      </c>
      <c r="E81" s="36">
        <v>13</v>
      </c>
      <c r="F81" s="37">
        <v>2</v>
      </c>
      <c r="G81" s="35">
        <f>1212+87</f>
        <v>1299</v>
      </c>
      <c r="H81" s="35">
        <f>1012+62</f>
        <v>1074</v>
      </c>
      <c r="I81" s="11">
        <f aca="true" t="shared" si="26" ref="I81:I91">G81/D81</f>
        <v>86.6</v>
      </c>
      <c r="J81" s="11">
        <f aca="true" t="shared" si="27" ref="J81:J91">H81/D81</f>
        <v>71.6</v>
      </c>
      <c r="K81" s="4">
        <f t="shared" si="25"/>
        <v>225</v>
      </c>
    </row>
    <row r="82" spans="1:11" ht="15.75">
      <c r="A82" s="5" t="s">
        <v>36</v>
      </c>
      <c r="B82" s="33" t="s">
        <v>29</v>
      </c>
      <c r="C82" s="34">
        <f t="shared" si="24"/>
        <v>27</v>
      </c>
      <c r="D82" s="35">
        <v>15</v>
      </c>
      <c r="E82" s="36">
        <v>12</v>
      </c>
      <c r="F82" s="37">
        <v>3</v>
      </c>
      <c r="G82" s="35">
        <f>1097+92</f>
        <v>1189</v>
      </c>
      <c r="H82" s="35">
        <v>943</v>
      </c>
      <c r="I82" s="11">
        <f t="shared" si="26"/>
        <v>79.26666666666667</v>
      </c>
      <c r="J82" s="11">
        <f t="shared" si="27"/>
        <v>62.86666666666667</v>
      </c>
      <c r="K82" s="4">
        <f t="shared" si="25"/>
        <v>246</v>
      </c>
    </row>
    <row r="83" spans="1:11" ht="15.75">
      <c r="A83" s="5" t="s">
        <v>36</v>
      </c>
      <c r="B83" s="33" t="s">
        <v>67</v>
      </c>
      <c r="C83" s="34">
        <f t="shared" si="24"/>
        <v>26</v>
      </c>
      <c r="D83" s="35">
        <v>15</v>
      </c>
      <c r="E83" s="36">
        <v>11</v>
      </c>
      <c r="F83" s="37">
        <v>4</v>
      </c>
      <c r="G83" s="35">
        <f>1140+75</f>
        <v>1215</v>
      </c>
      <c r="H83" s="35">
        <v>1081</v>
      </c>
      <c r="I83" s="11">
        <f t="shared" si="26"/>
        <v>81</v>
      </c>
      <c r="J83" s="11">
        <f t="shared" si="27"/>
        <v>72.06666666666666</v>
      </c>
      <c r="K83" s="4">
        <f t="shared" si="25"/>
        <v>134</v>
      </c>
    </row>
    <row r="84" spans="1:11" ht="15.75">
      <c r="A84" s="5" t="s">
        <v>36</v>
      </c>
      <c r="B84" s="39" t="s">
        <v>158</v>
      </c>
      <c r="C84" s="34">
        <f t="shared" si="24"/>
        <v>25</v>
      </c>
      <c r="D84" s="35">
        <v>15</v>
      </c>
      <c r="E84" s="36">
        <v>10</v>
      </c>
      <c r="F84" s="37">
        <v>5</v>
      </c>
      <c r="G84" s="35">
        <f>1188+89</f>
        <v>1277</v>
      </c>
      <c r="H84" s="35">
        <f>1057+83</f>
        <v>1140</v>
      </c>
      <c r="I84" s="11">
        <f t="shared" si="26"/>
        <v>85.13333333333334</v>
      </c>
      <c r="J84" s="11">
        <f t="shared" si="27"/>
        <v>76</v>
      </c>
      <c r="K84" s="4">
        <f t="shared" si="25"/>
        <v>137</v>
      </c>
    </row>
    <row r="85" spans="1:11" ht="15.75">
      <c r="A85" s="5" t="s">
        <v>36</v>
      </c>
      <c r="B85" s="39" t="s">
        <v>196</v>
      </c>
      <c r="C85" s="34">
        <f t="shared" si="24"/>
        <v>22</v>
      </c>
      <c r="D85" s="35">
        <v>15</v>
      </c>
      <c r="E85" s="36">
        <v>7</v>
      </c>
      <c r="F85" s="37">
        <v>8</v>
      </c>
      <c r="G85" s="35">
        <f>987+70</f>
        <v>1057</v>
      </c>
      <c r="H85" s="35">
        <f>973+75</f>
        <v>1048</v>
      </c>
      <c r="I85" s="11">
        <f t="shared" si="26"/>
        <v>70.46666666666667</v>
      </c>
      <c r="J85" s="11">
        <f t="shared" si="27"/>
        <v>69.86666666666666</v>
      </c>
      <c r="K85" s="4">
        <f t="shared" si="25"/>
        <v>9</v>
      </c>
    </row>
    <row r="86" spans="1:11" ht="15.75">
      <c r="A86" s="5" t="s">
        <v>36</v>
      </c>
      <c r="B86" s="33" t="s">
        <v>197</v>
      </c>
      <c r="C86" s="34">
        <f t="shared" si="24"/>
        <v>22</v>
      </c>
      <c r="D86" s="35">
        <v>15</v>
      </c>
      <c r="E86" s="36">
        <v>7</v>
      </c>
      <c r="F86" s="37">
        <v>8</v>
      </c>
      <c r="G86" s="35">
        <f>1110+90</f>
        <v>1200</v>
      </c>
      <c r="H86" s="35">
        <f>1082+109</f>
        <v>1191</v>
      </c>
      <c r="I86" s="11">
        <f t="shared" si="26"/>
        <v>80</v>
      </c>
      <c r="J86" s="11">
        <f t="shared" si="27"/>
        <v>79.4</v>
      </c>
      <c r="K86" s="4">
        <f aca="true" t="shared" si="28" ref="K86:K91">G86-H86</f>
        <v>9</v>
      </c>
    </row>
    <row r="87" spans="1:11" ht="15.75">
      <c r="A87" s="5" t="s">
        <v>36</v>
      </c>
      <c r="B87" s="38" t="s">
        <v>198</v>
      </c>
      <c r="C87" s="34">
        <f t="shared" si="24"/>
        <v>21</v>
      </c>
      <c r="D87" s="35">
        <v>15</v>
      </c>
      <c r="E87" s="36">
        <v>6</v>
      </c>
      <c r="F87" s="37">
        <v>9</v>
      </c>
      <c r="G87" s="35">
        <f>1044+109</f>
        <v>1153</v>
      </c>
      <c r="H87" s="35">
        <f>1197+90</f>
        <v>1287</v>
      </c>
      <c r="I87" s="11">
        <f t="shared" si="26"/>
        <v>76.86666666666666</v>
      </c>
      <c r="J87" s="11">
        <f t="shared" si="27"/>
        <v>85.8</v>
      </c>
      <c r="K87" s="4">
        <f t="shared" si="28"/>
        <v>-134</v>
      </c>
    </row>
    <row r="88" spans="1:11" ht="15.75">
      <c r="A88" s="5" t="s">
        <v>36</v>
      </c>
      <c r="B88" s="39" t="s">
        <v>199</v>
      </c>
      <c r="C88" s="34">
        <f t="shared" si="24"/>
        <v>20</v>
      </c>
      <c r="D88" s="35">
        <v>15</v>
      </c>
      <c r="E88" s="36">
        <v>5</v>
      </c>
      <c r="F88" s="37">
        <v>10</v>
      </c>
      <c r="G88" s="35">
        <f>982+83</f>
        <v>1065</v>
      </c>
      <c r="H88" s="35">
        <f>1087+89</f>
        <v>1176</v>
      </c>
      <c r="I88" s="11">
        <f t="shared" si="26"/>
        <v>71</v>
      </c>
      <c r="J88" s="11">
        <f t="shared" si="27"/>
        <v>78.4</v>
      </c>
      <c r="K88" s="4">
        <f t="shared" si="28"/>
        <v>-111</v>
      </c>
    </row>
    <row r="89" spans="1:11" ht="15.75">
      <c r="A89" s="5" t="s">
        <v>36</v>
      </c>
      <c r="B89" s="39" t="s">
        <v>161</v>
      </c>
      <c r="C89" s="34">
        <f t="shared" si="24"/>
        <v>19</v>
      </c>
      <c r="D89" s="35">
        <v>15</v>
      </c>
      <c r="E89" s="36">
        <v>4</v>
      </c>
      <c r="F89" s="37">
        <v>11</v>
      </c>
      <c r="G89" s="35">
        <f>1009+68</f>
        <v>1077</v>
      </c>
      <c r="H89" s="35">
        <f>1079+91</f>
        <v>1170</v>
      </c>
      <c r="I89" s="11">
        <f t="shared" si="26"/>
        <v>71.8</v>
      </c>
      <c r="J89" s="11">
        <f t="shared" si="27"/>
        <v>78</v>
      </c>
      <c r="K89" s="4">
        <f t="shared" si="28"/>
        <v>-93</v>
      </c>
    </row>
    <row r="90" spans="1:11" ht="15.75">
      <c r="A90" s="5" t="s">
        <v>36</v>
      </c>
      <c r="B90" s="38" t="s">
        <v>41</v>
      </c>
      <c r="C90" s="34">
        <f t="shared" si="24"/>
        <v>16</v>
      </c>
      <c r="D90" s="35">
        <v>15</v>
      </c>
      <c r="E90" s="36">
        <v>1</v>
      </c>
      <c r="F90" s="37">
        <v>14</v>
      </c>
      <c r="G90" s="35">
        <f>995+62</f>
        <v>1057</v>
      </c>
      <c r="H90" s="35">
        <f>1118+87</f>
        <v>1205</v>
      </c>
      <c r="I90" s="11">
        <f t="shared" si="26"/>
        <v>70.46666666666667</v>
      </c>
      <c r="J90" s="11">
        <f t="shared" si="27"/>
        <v>80.33333333333333</v>
      </c>
      <c r="K90" s="4">
        <f t="shared" si="28"/>
        <v>-148</v>
      </c>
    </row>
    <row r="91" spans="1:13" ht="15.75">
      <c r="A91" s="5" t="s">
        <v>36</v>
      </c>
      <c r="B91" s="40" t="s">
        <v>163</v>
      </c>
      <c r="C91" s="34">
        <f t="shared" si="24"/>
        <v>15</v>
      </c>
      <c r="D91" s="35">
        <v>15</v>
      </c>
      <c r="E91" s="36">
        <v>0</v>
      </c>
      <c r="F91" s="37">
        <v>15</v>
      </c>
      <c r="G91" s="35">
        <v>853</v>
      </c>
      <c r="H91" s="35">
        <f>1230+92</f>
        <v>1322</v>
      </c>
      <c r="I91" s="11">
        <f t="shared" si="26"/>
        <v>56.86666666666667</v>
      </c>
      <c r="J91" s="11">
        <f t="shared" si="27"/>
        <v>88.13333333333334</v>
      </c>
      <c r="K91" s="4">
        <f t="shared" si="28"/>
        <v>-469</v>
      </c>
      <c r="L91" s="2"/>
      <c r="M91" s="1">
        <f>SUM(I80:I91)/12</f>
        <v>76.3611111111111</v>
      </c>
    </row>
    <row r="92" spans="3:11" ht="26.25" customHeight="1">
      <c r="C92" s="16"/>
      <c r="D92" s="3"/>
      <c r="E92" s="16"/>
      <c r="F92" s="16"/>
      <c r="G92" s="3"/>
      <c r="H92" s="3"/>
      <c r="I92" s="11"/>
      <c r="J92" s="11"/>
      <c r="K92" s="4"/>
    </row>
    <row r="93" spans="1:11" ht="15.75">
      <c r="A93" s="5" t="s">
        <v>38</v>
      </c>
      <c r="B93" s="39" t="s">
        <v>148</v>
      </c>
      <c r="C93" s="34">
        <f aca="true" t="shared" si="29" ref="C93:C104">D93+E93</f>
        <v>27</v>
      </c>
      <c r="D93" s="35">
        <v>15</v>
      </c>
      <c r="E93" s="36">
        <v>12</v>
      </c>
      <c r="F93" s="37">
        <v>3</v>
      </c>
      <c r="G93" s="35">
        <f>992+76</f>
        <v>1068</v>
      </c>
      <c r="H93" s="35">
        <f>952+69</f>
        <v>1021</v>
      </c>
      <c r="I93" s="11">
        <f>G93/D93</f>
        <v>71.2</v>
      </c>
      <c r="J93" s="11">
        <f>H93/D93</f>
        <v>68.06666666666666</v>
      </c>
      <c r="K93" s="4">
        <f aca="true" t="shared" si="30" ref="K93:K104">G93-H93</f>
        <v>47</v>
      </c>
    </row>
    <row r="94" spans="1:11" ht="15.75">
      <c r="A94" s="5" t="s">
        <v>38</v>
      </c>
      <c r="B94" s="33" t="s">
        <v>146</v>
      </c>
      <c r="C94" s="34">
        <f t="shared" si="29"/>
        <v>26</v>
      </c>
      <c r="D94" s="35">
        <v>15</v>
      </c>
      <c r="E94" s="36">
        <v>11</v>
      </c>
      <c r="F94" s="37">
        <v>4</v>
      </c>
      <c r="G94" s="35">
        <f>1130+101</f>
        <v>1231</v>
      </c>
      <c r="H94" s="35">
        <f>969+71</f>
        <v>1040</v>
      </c>
      <c r="I94" s="11">
        <f aca="true" t="shared" si="31" ref="I94:I104">G94/D94</f>
        <v>82.06666666666666</v>
      </c>
      <c r="J94" s="11">
        <f aca="true" t="shared" si="32" ref="J94:J104">H94/D94</f>
        <v>69.33333333333333</v>
      </c>
      <c r="K94" s="4">
        <f t="shared" si="30"/>
        <v>191</v>
      </c>
    </row>
    <row r="95" spans="1:11" ht="15.75">
      <c r="A95" s="5" t="s">
        <v>38</v>
      </c>
      <c r="B95" s="33" t="s">
        <v>66</v>
      </c>
      <c r="C95" s="34">
        <f t="shared" si="29"/>
        <v>26</v>
      </c>
      <c r="D95" s="35">
        <v>15</v>
      </c>
      <c r="E95" s="36">
        <v>11</v>
      </c>
      <c r="F95" s="37">
        <v>4</v>
      </c>
      <c r="G95" s="35">
        <f>1145+93</f>
        <v>1238</v>
      </c>
      <c r="H95" s="35">
        <v>1078</v>
      </c>
      <c r="I95" s="11">
        <f t="shared" si="31"/>
        <v>82.53333333333333</v>
      </c>
      <c r="J95" s="11">
        <f t="shared" si="32"/>
        <v>71.86666666666666</v>
      </c>
      <c r="K95" s="4">
        <f t="shared" si="30"/>
        <v>160</v>
      </c>
    </row>
    <row r="96" spans="1:11" ht="15.75">
      <c r="A96" s="5" t="s">
        <v>38</v>
      </c>
      <c r="B96" s="38" t="s">
        <v>149</v>
      </c>
      <c r="C96" s="34">
        <f t="shared" si="29"/>
        <v>25</v>
      </c>
      <c r="D96" s="35">
        <v>15</v>
      </c>
      <c r="E96" s="36">
        <v>10</v>
      </c>
      <c r="F96" s="37">
        <v>5</v>
      </c>
      <c r="G96" s="35">
        <f>1013+77</f>
        <v>1090</v>
      </c>
      <c r="H96" s="35">
        <f>1037+67</f>
        <v>1104</v>
      </c>
      <c r="I96" s="11">
        <f t="shared" si="31"/>
        <v>72.66666666666667</v>
      </c>
      <c r="J96" s="11">
        <f t="shared" si="32"/>
        <v>73.6</v>
      </c>
      <c r="K96" s="4">
        <f t="shared" si="30"/>
        <v>-14</v>
      </c>
    </row>
    <row r="97" spans="1:11" ht="15.75">
      <c r="A97" s="5" t="s">
        <v>38</v>
      </c>
      <c r="B97" s="33" t="s">
        <v>191</v>
      </c>
      <c r="C97" s="34">
        <f t="shared" si="29"/>
        <v>24</v>
      </c>
      <c r="D97" s="35">
        <v>15</v>
      </c>
      <c r="E97" s="36">
        <v>9</v>
      </c>
      <c r="F97" s="37">
        <v>6</v>
      </c>
      <c r="G97" s="35">
        <f>1094+90</f>
        <v>1184</v>
      </c>
      <c r="H97" s="35">
        <f>1076+95</f>
        <v>1171</v>
      </c>
      <c r="I97" s="11">
        <f t="shared" si="31"/>
        <v>78.93333333333334</v>
      </c>
      <c r="J97" s="11">
        <f t="shared" si="32"/>
        <v>78.06666666666666</v>
      </c>
      <c r="K97" s="4">
        <f t="shared" si="30"/>
        <v>13</v>
      </c>
    </row>
    <row r="98" spans="1:11" ht="15.75">
      <c r="A98" s="5" t="s">
        <v>38</v>
      </c>
      <c r="B98" s="33" t="s">
        <v>192</v>
      </c>
      <c r="C98" s="34">
        <f t="shared" si="29"/>
        <v>22</v>
      </c>
      <c r="D98" s="35">
        <v>15</v>
      </c>
      <c r="E98" s="36">
        <v>7</v>
      </c>
      <c r="F98" s="37">
        <v>8</v>
      </c>
      <c r="G98" s="35">
        <f>1148+99</f>
        <v>1247</v>
      </c>
      <c r="H98" s="35">
        <f>1129+75</f>
        <v>1204</v>
      </c>
      <c r="I98" s="11">
        <f t="shared" si="31"/>
        <v>83.13333333333334</v>
      </c>
      <c r="J98" s="11">
        <f t="shared" si="32"/>
        <v>80.26666666666667</v>
      </c>
      <c r="K98" s="4">
        <f t="shared" si="30"/>
        <v>43</v>
      </c>
    </row>
    <row r="99" spans="1:11" ht="15.75">
      <c r="A99" s="5" t="s">
        <v>38</v>
      </c>
      <c r="B99" s="33" t="s">
        <v>151</v>
      </c>
      <c r="C99" s="34">
        <f t="shared" si="29"/>
        <v>22</v>
      </c>
      <c r="D99" s="35">
        <v>15</v>
      </c>
      <c r="E99" s="36">
        <v>7</v>
      </c>
      <c r="F99" s="37">
        <v>8</v>
      </c>
      <c r="G99" s="35">
        <f>1139+67</f>
        <v>1206</v>
      </c>
      <c r="H99" s="35">
        <f>1115+77</f>
        <v>1192</v>
      </c>
      <c r="I99" s="11">
        <f t="shared" si="31"/>
        <v>80.4</v>
      </c>
      <c r="J99" s="11">
        <f t="shared" si="32"/>
        <v>79.46666666666667</v>
      </c>
      <c r="K99" s="4">
        <f t="shared" si="30"/>
        <v>14</v>
      </c>
    </row>
    <row r="100" spans="1:11" ht="15.75">
      <c r="A100" s="5" t="s">
        <v>38</v>
      </c>
      <c r="B100" s="39" t="s">
        <v>193</v>
      </c>
      <c r="C100" s="34">
        <f t="shared" si="29"/>
        <v>22</v>
      </c>
      <c r="D100" s="35">
        <v>15</v>
      </c>
      <c r="E100" s="36">
        <v>7</v>
      </c>
      <c r="F100" s="37">
        <v>8</v>
      </c>
      <c r="G100" s="35">
        <f>1098+75</f>
        <v>1173</v>
      </c>
      <c r="H100" s="35">
        <f>1135+99</f>
        <v>1234</v>
      </c>
      <c r="I100" s="11">
        <f t="shared" si="31"/>
        <v>78.2</v>
      </c>
      <c r="J100" s="11">
        <f t="shared" si="32"/>
        <v>82.26666666666667</v>
      </c>
      <c r="K100" s="4">
        <f t="shared" si="30"/>
        <v>-61</v>
      </c>
    </row>
    <row r="101" spans="1:11" ht="15.75">
      <c r="A101" s="5" t="s">
        <v>38</v>
      </c>
      <c r="B101" s="33" t="s">
        <v>39</v>
      </c>
      <c r="C101" s="34">
        <f t="shared" si="29"/>
        <v>21</v>
      </c>
      <c r="D101" s="35">
        <v>15</v>
      </c>
      <c r="E101" s="36">
        <v>6</v>
      </c>
      <c r="F101" s="37">
        <v>9</v>
      </c>
      <c r="G101" s="35">
        <f>1064+74</f>
        <v>1138</v>
      </c>
      <c r="H101" s="35">
        <f>1065+93</f>
        <v>1158</v>
      </c>
      <c r="I101" s="11">
        <f t="shared" si="31"/>
        <v>75.86666666666666</v>
      </c>
      <c r="J101" s="11">
        <f t="shared" si="32"/>
        <v>77.2</v>
      </c>
      <c r="K101" s="4">
        <f t="shared" si="30"/>
        <v>-20</v>
      </c>
    </row>
    <row r="102" spans="1:11" ht="15.75">
      <c r="A102" s="5" t="s">
        <v>38</v>
      </c>
      <c r="B102" s="38" t="s">
        <v>153</v>
      </c>
      <c r="C102" s="34">
        <f t="shared" si="29"/>
        <v>20</v>
      </c>
      <c r="D102" s="35">
        <v>15</v>
      </c>
      <c r="E102" s="36">
        <v>5</v>
      </c>
      <c r="F102" s="37">
        <v>10</v>
      </c>
      <c r="G102" s="35">
        <f>1075+69</f>
        <v>1144</v>
      </c>
      <c r="H102" s="35">
        <f>1146+76</f>
        <v>1222</v>
      </c>
      <c r="I102" s="11">
        <f t="shared" si="31"/>
        <v>76.26666666666667</v>
      </c>
      <c r="J102" s="11">
        <f t="shared" si="32"/>
        <v>81.46666666666667</v>
      </c>
      <c r="K102" s="4">
        <f t="shared" si="30"/>
        <v>-78</v>
      </c>
    </row>
    <row r="103" spans="1:11" ht="15.75">
      <c r="A103" s="5" t="s">
        <v>38</v>
      </c>
      <c r="B103" s="33" t="s">
        <v>194</v>
      </c>
      <c r="C103" s="34">
        <f t="shared" si="29"/>
        <v>18</v>
      </c>
      <c r="D103" s="35">
        <v>15</v>
      </c>
      <c r="E103" s="36">
        <v>3</v>
      </c>
      <c r="F103" s="37">
        <v>12</v>
      </c>
      <c r="G103" s="35">
        <f>1031+95</f>
        <v>1126</v>
      </c>
      <c r="H103" s="35">
        <f>1137+90</f>
        <v>1227</v>
      </c>
      <c r="I103" s="11">
        <f t="shared" si="31"/>
        <v>75.06666666666666</v>
      </c>
      <c r="J103" s="11">
        <f t="shared" si="32"/>
        <v>81.8</v>
      </c>
      <c r="K103" s="4">
        <f t="shared" si="30"/>
        <v>-101</v>
      </c>
    </row>
    <row r="104" spans="1:13" ht="15.75">
      <c r="A104" s="5" t="s">
        <v>38</v>
      </c>
      <c r="B104" s="39" t="s">
        <v>155</v>
      </c>
      <c r="C104" s="34">
        <f t="shared" si="29"/>
        <v>17</v>
      </c>
      <c r="D104" s="35">
        <v>15</v>
      </c>
      <c r="E104" s="36">
        <v>2</v>
      </c>
      <c r="F104" s="37">
        <v>13</v>
      </c>
      <c r="G104" s="35">
        <f>1111+71</f>
        <v>1182</v>
      </c>
      <c r="H104" s="35">
        <f>1275+101</f>
        <v>1376</v>
      </c>
      <c r="I104" s="11">
        <f t="shared" si="31"/>
        <v>78.8</v>
      </c>
      <c r="J104" s="11">
        <f t="shared" si="32"/>
        <v>91.73333333333333</v>
      </c>
      <c r="K104" s="4">
        <f t="shared" si="30"/>
        <v>-194</v>
      </c>
      <c r="L104" s="2"/>
      <c r="M104" s="1">
        <f>SUM(I93:I104)/12</f>
        <v>77.92777777777776</v>
      </c>
    </row>
    <row r="105" spans="3:11" ht="22.5" customHeight="1">
      <c r="C105" s="16"/>
      <c r="D105" s="3"/>
      <c r="E105" s="16"/>
      <c r="F105" s="16"/>
      <c r="G105" s="3"/>
      <c r="H105" s="3"/>
      <c r="I105" s="11"/>
      <c r="J105" s="11"/>
      <c r="K105" s="4"/>
    </row>
    <row r="106" spans="1:11" ht="15.75">
      <c r="A106" s="5" t="s">
        <v>40</v>
      </c>
      <c r="B106" s="40" t="s">
        <v>185</v>
      </c>
      <c r="C106" s="34">
        <f aca="true" t="shared" si="33" ref="C106:C117">D106+E106</f>
        <v>29</v>
      </c>
      <c r="D106" s="35">
        <v>15</v>
      </c>
      <c r="E106" s="36">
        <v>14</v>
      </c>
      <c r="F106" s="37">
        <v>1</v>
      </c>
      <c r="G106" s="35">
        <f>1142+68</f>
        <v>1210</v>
      </c>
      <c r="H106" s="35">
        <f>938+58</f>
        <v>996</v>
      </c>
      <c r="I106" s="11">
        <f>G106/D106</f>
        <v>80.66666666666667</v>
      </c>
      <c r="J106" s="11">
        <f>H106/D106</f>
        <v>66.4</v>
      </c>
      <c r="K106" s="4">
        <f aca="true" t="shared" si="34" ref="K106:K117">G106-H106</f>
        <v>214</v>
      </c>
    </row>
    <row r="107" spans="1:11" ht="15.75">
      <c r="A107" s="5" t="s">
        <v>40</v>
      </c>
      <c r="B107" s="40" t="s">
        <v>186</v>
      </c>
      <c r="C107" s="34">
        <f t="shared" si="33"/>
        <v>27</v>
      </c>
      <c r="D107" s="35">
        <v>15</v>
      </c>
      <c r="E107" s="36">
        <v>12</v>
      </c>
      <c r="F107" s="37">
        <v>3</v>
      </c>
      <c r="G107" s="35">
        <f>1122+103</f>
        <v>1225</v>
      </c>
      <c r="H107" s="35">
        <f>1039+108</f>
        <v>1147</v>
      </c>
      <c r="I107" s="11">
        <f aca="true" t="shared" si="35" ref="I107:I117">G107/D107</f>
        <v>81.66666666666667</v>
      </c>
      <c r="J107" s="11">
        <f aca="true" t="shared" si="36" ref="J107:J117">H107/D107</f>
        <v>76.46666666666667</v>
      </c>
      <c r="K107" s="4">
        <f t="shared" si="34"/>
        <v>78</v>
      </c>
    </row>
    <row r="108" spans="1:11" ht="15.75">
      <c r="A108" s="5" t="s">
        <v>40</v>
      </c>
      <c r="B108" s="33" t="s">
        <v>43</v>
      </c>
      <c r="C108" s="34">
        <f t="shared" si="33"/>
        <v>26</v>
      </c>
      <c r="D108" s="35">
        <v>15</v>
      </c>
      <c r="E108" s="36">
        <v>11</v>
      </c>
      <c r="F108" s="37">
        <v>4</v>
      </c>
      <c r="G108" s="35">
        <f>1105+108</f>
        <v>1213</v>
      </c>
      <c r="H108" s="35">
        <f>1018+103</f>
        <v>1121</v>
      </c>
      <c r="I108" s="11">
        <f t="shared" si="35"/>
        <v>80.86666666666666</v>
      </c>
      <c r="J108" s="11">
        <f t="shared" si="36"/>
        <v>74.73333333333333</v>
      </c>
      <c r="K108" s="4">
        <f t="shared" si="34"/>
        <v>92</v>
      </c>
    </row>
    <row r="109" spans="1:11" ht="15.75">
      <c r="A109" s="5" t="s">
        <v>40</v>
      </c>
      <c r="B109" s="33" t="s">
        <v>187</v>
      </c>
      <c r="C109" s="34">
        <f t="shared" si="33"/>
        <v>26</v>
      </c>
      <c r="D109" s="35">
        <v>15</v>
      </c>
      <c r="E109" s="36">
        <v>11</v>
      </c>
      <c r="F109" s="37">
        <v>4</v>
      </c>
      <c r="G109" s="35">
        <f>1183+82</f>
        <v>1265</v>
      </c>
      <c r="H109" s="35">
        <f>1029+92</f>
        <v>1121</v>
      </c>
      <c r="I109" s="11">
        <f t="shared" si="35"/>
        <v>84.33333333333333</v>
      </c>
      <c r="J109" s="11">
        <f t="shared" si="36"/>
        <v>74.73333333333333</v>
      </c>
      <c r="K109" s="4">
        <f t="shared" si="34"/>
        <v>144</v>
      </c>
    </row>
    <row r="110" spans="1:11" ht="15.75">
      <c r="A110" s="5" t="s">
        <v>40</v>
      </c>
      <c r="B110" s="38" t="s">
        <v>188</v>
      </c>
      <c r="C110" s="34">
        <f t="shared" si="33"/>
        <v>24</v>
      </c>
      <c r="D110" s="35">
        <v>15</v>
      </c>
      <c r="E110" s="36">
        <v>9</v>
      </c>
      <c r="F110" s="37">
        <v>6</v>
      </c>
      <c r="G110" s="35">
        <f>1178+85</f>
        <v>1263</v>
      </c>
      <c r="H110" s="35">
        <f>1131+83</f>
        <v>1214</v>
      </c>
      <c r="I110" s="11">
        <f t="shared" si="35"/>
        <v>84.2</v>
      </c>
      <c r="J110" s="11">
        <f t="shared" si="36"/>
        <v>80.93333333333334</v>
      </c>
      <c r="K110" s="4">
        <f t="shared" si="34"/>
        <v>49</v>
      </c>
    </row>
    <row r="111" spans="1:11" ht="15.75">
      <c r="A111" s="5" t="s">
        <v>40</v>
      </c>
      <c r="B111" s="40" t="s">
        <v>143</v>
      </c>
      <c r="C111" s="34">
        <f t="shared" si="33"/>
        <v>22</v>
      </c>
      <c r="D111" s="35">
        <v>15</v>
      </c>
      <c r="E111" s="36">
        <v>7</v>
      </c>
      <c r="F111" s="37">
        <v>8</v>
      </c>
      <c r="G111" s="35">
        <f>1071+92</f>
        <v>1163</v>
      </c>
      <c r="H111" s="35">
        <f>1071+82</f>
        <v>1153</v>
      </c>
      <c r="I111" s="11">
        <f t="shared" si="35"/>
        <v>77.53333333333333</v>
      </c>
      <c r="J111" s="11">
        <f t="shared" si="36"/>
        <v>76.86666666666666</v>
      </c>
      <c r="K111" s="4">
        <f t="shared" si="34"/>
        <v>10</v>
      </c>
    </row>
    <row r="112" spans="1:11" ht="15.75">
      <c r="A112" s="5" t="s">
        <v>40</v>
      </c>
      <c r="B112" s="33" t="s">
        <v>140</v>
      </c>
      <c r="C112" s="34">
        <f t="shared" si="33"/>
        <v>21</v>
      </c>
      <c r="D112" s="35">
        <v>15</v>
      </c>
      <c r="E112" s="36">
        <v>6</v>
      </c>
      <c r="F112" s="37">
        <v>9</v>
      </c>
      <c r="G112" s="35">
        <f>1046+67</f>
        <v>1113</v>
      </c>
      <c r="H112" s="35">
        <f>1097+59</f>
        <v>1156</v>
      </c>
      <c r="I112" s="11">
        <f t="shared" si="35"/>
        <v>74.2</v>
      </c>
      <c r="J112" s="11">
        <f t="shared" si="36"/>
        <v>77.06666666666666</v>
      </c>
      <c r="K112" s="4">
        <f t="shared" si="34"/>
        <v>-43</v>
      </c>
    </row>
    <row r="113" spans="1:11" ht="15.75">
      <c r="A113" s="5" t="s">
        <v>40</v>
      </c>
      <c r="B113" s="33" t="s">
        <v>37</v>
      </c>
      <c r="C113" s="34">
        <f t="shared" si="33"/>
        <v>20</v>
      </c>
      <c r="D113" s="35">
        <v>15</v>
      </c>
      <c r="E113" s="36">
        <v>5</v>
      </c>
      <c r="F113" s="37">
        <v>10</v>
      </c>
      <c r="G113" s="35">
        <f>1068+85</f>
        <v>1153</v>
      </c>
      <c r="H113" s="35">
        <f>1160+81</f>
        <v>1241</v>
      </c>
      <c r="I113" s="11">
        <f t="shared" si="35"/>
        <v>76.86666666666666</v>
      </c>
      <c r="J113" s="11">
        <f t="shared" si="36"/>
        <v>82.73333333333333</v>
      </c>
      <c r="K113" s="4">
        <f t="shared" si="34"/>
        <v>-88</v>
      </c>
    </row>
    <row r="114" spans="1:12" ht="15.75">
      <c r="A114" s="5" t="s">
        <v>40</v>
      </c>
      <c r="B114" s="33" t="s">
        <v>65</v>
      </c>
      <c r="C114" s="34">
        <f t="shared" si="33"/>
        <v>20</v>
      </c>
      <c r="D114" s="35">
        <v>15</v>
      </c>
      <c r="E114" s="36">
        <v>5</v>
      </c>
      <c r="F114" s="37">
        <v>10</v>
      </c>
      <c r="G114" s="35">
        <f>1120+58</f>
        <v>1178</v>
      </c>
      <c r="H114" s="35">
        <f>1192+68</f>
        <v>1260</v>
      </c>
      <c r="I114" s="11">
        <f t="shared" si="35"/>
        <v>78.53333333333333</v>
      </c>
      <c r="J114" s="11">
        <f t="shared" si="36"/>
        <v>84</v>
      </c>
      <c r="K114" s="4">
        <f t="shared" si="34"/>
        <v>-82</v>
      </c>
      <c r="L114" s="2"/>
    </row>
    <row r="115" spans="1:12" ht="15.75">
      <c r="A115" s="5" t="s">
        <v>40</v>
      </c>
      <c r="B115" s="33" t="s">
        <v>189</v>
      </c>
      <c r="C115" s="34">
        <f t="shared" si="33"/>
        <v>19</v>
      </c>
      <c r="D115" s="35">
        <v>15</v>
      </c>
      <c r="E115" s="36">
        <v>4</v>
      </c>
      <c r="F115" s="37">
        <v>11</v>
      </c>
      <c r="G115" s="35">
        <f>954+81</f>
        <v>1035</v>
      </c>
      <c r="H115" s="35">
        <f>1063+85</f>
        <v>1148</v>
      </c>
      <c r="I115" s="11">
        <f t="shared" si="35"/>
        <v>69</v>
      </c>
      <c r="J115" s="11">
        <f t="shared" si="36"/>
        <v>76.53333333333333</v>
      </c>
      <c r="K115" s="4">
        <f t="shared" si="34"/>
        <v>-113</v>
      </c>
      <c r="L115" s="2"/>
    </row>
    <row r="116" spans="1:11" ht="15.75">
      <c r="A116" s="5" t="s">
        <v>40</v>
      </c>
      <c r="B116" s="39" t="s">
        <v>142</v>
      </c>
      <c r="C116" s="34">
        <f t="shared" si="33"/>
        <v>19</v>
      </c>
      <c r="D116" s="35">
        <v>15</v>
      </c>
      <c r="E116" s="36">
        <v>4</v>
      </c>
      <c r="F116" s="37">
        <v>11</v>
      </c>
      <c r="G116" s="35">
        <f>1031+83</f>
        <v>1114</v>
      </c>
      <c r="H116" s="35">
        <f>1103+85</f>
        <v>1188</v>
      </c>
      <c r="I116" s="11">
        <f t="shared" si="35"/>
        <v>74.26666666666667</v>
      </c>
      <c r="J116" s="11">
        <f t="shared" si="36"/>
        <v>79.2</v>
      </c>
      <c r="K116" s="4">
        <f t="shared" si="34"/>
        <v>-74</v>
      </c>
    </row>
    <row r="117" spans="1:13" ht="15.75">
      <c r="A117" s="32" t="s">
        <v>40</v>
      </c>
      <c r="B117" s="50" t="s">
        <v>190</v>
      </c>
      <c r="C117" s="34">
        <f t="shared" si="33"/>
        <v>17</v>
      </c>
      <c r="D117" s="35">
        <v>15</v>
      </c>
      <c r="E117" s="36">
        <v>2</v>
      </c>
      <c r="F117" s="37">
        <v>13</v>
      </c>
      <c r="G117" s="35">
        <f>965+59</f>
        <v>1024</v>
      </c>
      <c r="H117" s="35">
        <f>1144+67</f>
        <v>1211</v>
      </c>
      <c r="I117" s="11">
        <f t="shared" si="35"/>
        <v>68.26666666666667</v>
      </c>
      <c r="J117" s="11">
        <f t="shared" si="36"/>
        <v>80.73333333333333</v>
      </c>
      <c r="K117" s="4">
        <f t="shared" si="34"/>
        <v>-187</v>
      </c>
      <c r="M117" s="1">
        <f>SUM(I106:I117)/12</f>
        <v>77.53333333333333</v>
      </c>
    </row>
    <row r="118" spans="3:11" ht="15" customHeight="1">
      <c r="C118" s="16"/>
      <c r="D118" s="3"/>
      <c r="E118" s="16"/>
      <c r="F118" s="16"/>
      <c r="G118" s="3"/>
      <c r="H118" s="3"/>
      <c r="I118" s="11"/>
      <c r="J118" s="11"/>
      <c r="K118" s="4"/>
    </row>
    <row r="119" spans="1:11" ht="15.75">
      <c r="A119" s="5" t="s">
        <v>44</v>
      </c>
      <c r="B119" s="33" t="s">
        <v>64</v>
      </c>
      <c r="C119" s="34">
        <f aca="true" t="shared" si="37" ref="C119:C130">D119+E119</f>
        <v>29</v>
      </c>
      <c r="D119" s="35">
        <v>15</v>
      </c>
      <c r="E119" s="36">
        <v>14</v>
      </c>
      <c r="F119" s="37">
        <v>1</v>
      </c>
      <c r="G119" s="35">
        <f>1238+97</f>
        <v>1335</v>
      </c>
      <c r="H119" s="35">
        <f>1033+80</f>
        <v>1113</v>
      </c>
      <c r="I119" s="11">
        <f>G119/D119</f>
        <v>89</v>
      </c>
      <c r="J119" s="11">
        <f>H119/D119</f>
        <v>74.2</v>
      </c>
      <c r="K119" s="4">
        <f aca="true" t="shared" si="38" ref="K119:K130">G119-H119</f>
        <v>222</v>
      </c>
    </row>
    <row r="120" spans="1:11" ht="15.75">
      <c r="A120" s="5" t="s">
        <v>44</v>
      </c>
      <c r="B120" s="33" t="s">
        <v>180</v>
      </c>
      <c r="C120" s="34">
        <f t="shared" si="37"/>
        <v>28</v>
      </c>
      <c r="D120" s="35">
        <v>15</v>
      </c>
      <c r="E120" s="36">
        <v>13</v>
      </c>
      <c r="F120" s="37">
        <v>2</v>
      </c>
      <c r="G120" s="35">
        <f>1195+84</f>
        <v>1279</v>
      </c>
      <c r="H120" s="35">
        <f>994+81</f>
        <v>1075</v>
      </c>
      <c r="I120" s="11">
        <f aca="true" t="shared" si="39" ref="I120:I130">G120/D120</f>
        <v>85.26666666666667</v>
      </c>
      <c r="J120" s="11">
        <f aca="true" t="shared" si="40" ref="J120:J130">H120/D120</f>
        <v>71.66666666666667</v>
      </c>
      <c r="K120" s="4">
        <f t="shared" si="38"/>
        <v>204</v>
      </c>
    </row>
    <row r="121" spans="1:11" ht="15.75">
      <c r="A121" s="5" t="s">
        <v>44</v>
      </c>
      <c r="B121" s="39" t="s">
        <v>181</v>
      </c>
      <c r="C121" s="34">
        <f t="shared" si="37"/>
        <v>25</v>
      </c>
      <c r="D121" s="35">
        <v>15</v>
      </c>
      <c r="E121" s="36">
        <v>10</v>
      </c>
      <c r="F121" s="37">
        <v>5</v>
      </c>
      <c r="G121" s="35">
        <f>1078+80</f>
        <v>1158</v>
      </c>
      <c r="H121" s="35">
        <f>1031+97</f>
        <v>1128</v>
      </c>
      <c r="I121" s="11">
        <f t="shared" si="39"/>
        <v>77.2</v>
      </c>
      <c r="J121" s="11">
        <f t="shared" si="40"/>
        <v>75.2</v>
      </c>
      <c r="K121" s="4">
        <f t="shared" si="38"/>
        <v>30</v>
      </c>
    </row>
    <row r="122" spans="1:11" ht="15.75">
      <c r="A122" s="5" t="s">
        <v>44</v>
      </c>
      <c r="B122" s="33" t="s">
        <v>45</v>
      </c>
      <c r="C122" s="34">
        <f t="shared" si="37"/>
        <v>24</v>
      </c>
      <c r="D122" s="35">
        <v>15</v>
      </c>
      <c r="E122" s="36">
        <v>9</v>
      </c>
      <c r="F122" s="37">
        <v>6</v>
      </c>
      <c r="G122" s="35">
        <f>1234+85</f>
        <v>1319</v>
      </c>
      <c r="H122" s="35">
        <f>1177+56</f>
        <v>1233</v>
      </c>
      <c r="I122" s="11">
        <f t="shared" si="39"/>
        <v>87.93333333333334</v>
      </c>
      <c r="J122" s="11">
        <f t="shared" si="40"/>
        <v>82.2</v>
      </c>
      <c r="K122" s="4">
        <f t="shared" si="38"/>
        <v>86</v>
      </c>
    </row>
    <row r="123" spans="1:11" ht="15.75">
      <c r="A123" s="5" t="s">
        <v>44</v>
      </c>
      <c r="B123" s="33" t="s">
        <v>182</v>
      </c>
      <c r="C123" s="34">
        <f t="shared" si="37"/>
        <v>24</v>
      </c>
      <c r="D123" s="35">
        <v>15</v>
      </c>
      <c r="E123" s="36">
        <v>9</v>
      </c>
      <c r="F123" s="37">
        <v>6</v>
      </c>
      <c r="G123" s="35">
        <f>1151+72</f>
        <v>1223</v>
      </c>
      <c r="H123" s="35">
        <f>1129+85</f>
        <v>1214</v>
      </c>
      <c r="I123" s="11">
        <f t="shared" si="39"/>
        <v>81.53333333333333</v>
      </c>
      <c r="J123" s="11">
        <f t="shared" si="40"/>
        <v>80.93333333333334</v>
      </c>
      <c r="K123" s="4">
        <f t="shared" si="38"/>
        <v>9</v>
      </c>
    </row>
    <row r="124" spans="1:11" ht="15.75">
      <c r="A124" s="5" t="s">
        <v>44</v>
      </c>
      <c r="B124" s="33" t="s">
        <v>42</v>
      </c>
      <c r="C124" s="34">
        <f t="shared" si="37"/>
        <v>23</v>
      </c>
      <c r="D124" s="35">
        <v>15</v>
      </c>
      <c r="E124" s="36">
        <v>8</v>
      </c>
      <c r="F124" s="37">
        <v>7</v>
      </c>
      <c r="G124" s="35">
        <f>1086+91</f>
        <v>1177</v>
      </c>
      <c r="H124" s="35">
        <f>1050+65</f>
        <v>1115</v>
      </c>
      <c r="I124" s="11">
        <f t="shared" si="39"/>
        <v>78.46666666666667</v>
      </c>
      <c r="J124" s="11">
        <f t="shared" si="40"/>
        <v>74.33333333333333</v>
      </c>
      <c r="K124" s="4">
        <f t="shared" si="38"/>
        <v>62</v>
      </c>
    </row>
    <row r="125" spans="1:11" ht="15.75">
      <c r="A125" s="5" t="s">
        <v>44</v>
      </c>
      <c r="B125" s="50" t="s">
        <v>131</v>
      </c>
      <c r="C125" s="34">
        <f t="shared" si="37"/>
        <v>22</v>
      </c>
      <c r="D125" s="35">
        <v>15</v>
      </c>
      <c r="E125" s="36">
        <v>7</v>
      </c>
      <c r="F125" s="37">
        <v>8</v>
      </c>
      <c r="G125" s="35">
        <f>1141+85</f>
        <v>1226</v>
      </c>
      <c r="H125" s="35">
        <f>1129+72</f>
        <v>1201</v>
      </c>
      <c r="I125" s="11">
        <f t="shared" si="39"/>
        <v>81.73333333333333</v>
      </c>
      <c r="J125" s="11">
        <f t="shared" si="40"/>
        <v>80.06666666666666</v>
      </c>
      <c r="K125" s="4">
        <f t="shared" si="38"/>
        <v>25</v>
      </c>
    </row>
    <row r="126" spans="1:11" ht="15.75">
      <c r="A126" s="5" t="s">
        <v>44</v>
      </c>
      <c r="B126" s="33" t="s">
        <v>183</v>
      </c>
      <c r="C126" s="34">
        <f t="shared" si="37"/>
        <v>21</v>
      </c>
      <c r="D126" s="35">
        <v>15</v>
      </c>
      <c r="E126" s="36">
        <v>6</v>
      </c>
      <c r="F126" s="37">
        <v>9</v>
      </c>
      <c r="G126" s="35">
        <f>987+56</f>
        <v>1043</v>
      </c>
      <c r="H126" s="35">
        <f>1086+85</f>
        <v>1171</v>
      </c>
      <c r="I126" s="11">
        <f t="shared" si="39"/>
        <v>69.53333333333333</v>
      </c>
      <c r="J126" s="11">
        <f t="shared" si="40"/>
        <v>78.06666666666666</v>
      </c>
      <c r="K126" s="4">
        <f t="shared" si="38"/>
        <v>-128</v>
      </c>
    </row>
    <row r="127" spans="1:11" ht="15.75">
      <c r="A127" s="5" t="s">
        <v>44</v>
      </c>
      <c r="B127" s="39" t="s">
        <v>136</v>
      </c>
      <c r="C127" s="34">
        <f t="shared" si="37"/>
        <v>20</v>
      </c>
      <c r="D127" s="35">
        <v>15</v>
      </c>
      <c r="E127" s="36">
        <v>5</v>
      </c>
      <c r="F127" s="37">
        <v>10</v>
      </c>
      <c r="G127" s="35">
        <f>984+81</f>
        <v>1065</v>
      </c>
      <c r="H127" s="35">
        <f>1092+84</f>
        <v>1176</v>
      </c>
      <c r="I127" s="11">
        <f t="shared" si="39"/>
        <v>71</v>
      </c>
      <c r="J127" s="11">
        <f t="shared" si="40"/>
        <v>78.4</v>
      </c>
      <c r="K127" s="4">
        <f t="shared" si="38"/>
        <v>-111</v>
      </c>
    </row>
    <row r="128" spans="1:11" ht="15.75">
      <c r="A128" s="5" t="s">
        <v>44</v>
      </c>
      <c r="B128" s="33" t="s">
        <v>132</v>
      </c>
      <c r="C128" s="34">
        <f t="shared" si="37"/>
        <v>20</v>
      </c>
      <c r="D128" s="35">
        <v>15</v>
      </c>
      <c r="E128" s="36">
        <v>5</v>
      </c>
      <c r="F128" s="37">
        <v>10</v>
      </c>
      <c r="G128" s="35">
        <v>1070</v>
      </c>
      <c r="H128" s="35">
        <f>1067+63</f>
        <v>1130</v>
      </c>
      <c r="I128" s="11">
        <f t="shared" si="39"/>
        <v>71.33333333333333</v>
      </c>
      <c r="J128" s="11">
        <f t="shared" si="40"/>
        <v>75.33333333333333</v>
      </c>
      <c r="K128" s="4">
        <f t="shared" si="38"/>
        <v>-60</v>
      </c>
    </row>
    <row r="129" spans="1:12" ht="15.75">
      <c r="A129" s="5" t="s">
        <v>44</v>
      </c>
      <c r="B129" s="39" t="s">
        <v>135</v>
      </c>
      <c r="C129" s="34">
        <f t="shared" si="37"/>
        <v>18</v>
      </c>
      <c r="D129" s="35">
        <v>15</v>
      </c>
      <c r="E129" s="36">
        <v>3</v>
      </c>
      <c r="F129" s="37">
        <v>12</v>
      </c>
      <c r="G129" s="35">
        <f>977+65</f>
        <v>1042</v>
      </c>
      <c r="H129" s="35">
        <f>1040+91</f>
        <v>1131</v>
      </c>
      <c r="I129" s="11">
        <f t="shared" si="39"/>
        <v>69.46666666666667</v>
      </c>
      <c r="J129" s="11">
        <f t="shared" si="40"/>
        <v>75.4</v>
      </c>
      <c r="K129" s="4">
        <f t="shared" si="38"/>
        <v>-89</v>
      </c>
      <c r="L129" s="2"/>
    </row>
    <row r="130" spans="1:13" ht="15.75">
      <c r="A130" s="5" t="s">
        <v>44</v>
      </c>
      <c r="B130" s="38" t="s">
        <v>184</v>
      </c>
      <c r="C130" s="34">
        <f t="shared" si="37"/>
        <v>16</v>
      </c>
      <c r="D130" s="35">
        <v>15</v>
      </c>
      <c r="E130" s="36">
        <v>1</v>
      </c>
      <c r="F130" s="37">
        <v>14</v>
      </c>
      <c r="G130" s="35">
        <v>1069</v>
      </c>
      <c r="H130" s="35">
        <f>1251+68</f>
        <v>1319</v>
      </c>
      <c r="I130" s="11">
        <f t="shared" si="39"/>
        <v>71.26666666666667</v>
      </c>
      <c r="J130" s="11">
        <f t="shared" si="40"/>
        <v>87.93333333333334</v>
      </c>
      <c r="K130" s="4">
        <f t="shared" si="38"/>
        <v>-250</v>
      </c>
      <c r="L130" s="2"/>
      <c r="M130" s="1">
        <f>SUM(I119:I130)/12</f>
        <v>77.81111111111112</v>
      </c>
    </row>
    <row r="131" spans="3:11" ht="15.75" customHeight="1">
      <c r="C131" s="16"/>
      <c r="D131" s="3"/>
      <c r="E131" s="16"/>
      <c r="F131" s="16"/>
      <c r="G131" s="3"/>
      <c r="H131" s="3"/>
      <c r="I131" s="11"/>
      <c r="J131" s="11"/>
      <c r="K131" s="4"/>
    </row>
    <row r="132" spans="1:11" ht="15.75">
      <c r="A132" s="5" t="s">
        <v>49</v>
      </c>
      <c r="B132" s="40" t="s">
        <v>123</v>
      </c>
      <c r="C132" s="34">
        <f aca="true" t="shared" si="41" ref="C132:C140">D132+E132</f>
        <v>27</v>
      </c>
      <c r="D132" s="35">
        <v>15</v>
      </c>
      <c r="E132" s="36">
        <v>12</v>
      </c>
      <c r="F132" s="37">
        <v>3</v>
      </c>
      <c r="G132" s="35">
        <f>1205+99</f>
        <v>1304</v>
      </c>
      <c r="H132" s="35">
        <f>1131+85</f>
        <v>1216</v>
      </c>
      <c r="I132" s="11">
        <f>G132/D132</f>
        <v>86.93333333333334</v>
      </c>
      <c r="J132" s="11">
        <f>H132/D132</f>
        <v>81.06666666666666</v>
      </c>
      <c r="K132" s="4">
        <f aca="true" t="shared" si="42" ref="K132:K143">G132-H132</f>
        <v>88</v>
      </c>
    </row>
    <row r="133" spans="1:11" ht="15.75">
      <c r="A133" s="5" t="s">
        <v>49</v>
      </c>
      <c r="B133" s="33" t="s">
        <v>46</v>
      </c>
      <c r="C133" s="34">
        <f t="shared" si="41"/>
        <v>26</v>
      </c>
      <c r="D133" s="35">
        <v>15</v>
      </c>
      <c r="E133" s="36">
        <v>11</v>
      </c>
      <c r="F133" s="37">
        <v>4</v>
      </c>
      <c r="G133" s="35">
        <f>1210+78</f>
        <v>1288</v>
      </c>
      <c r="H133" s="35">
        <f>1083+64</f>
        <v>1147</v>
      </c>
      <c r="I133" s="11">
        <f aca="true" t="shared" si="43" ref="I133:I143">G133/D133</f>
        <v>85.86666666666666</v>
      </c>
      <c r="J133" s="11">
        <f aca="true" t="shared" si="44" ref="J133:J143">H133/D133</f>
        <v>76.46666666666667</v>
      </c>
      <c r="K133" s="4">
        <f>G133-H133</f>
        <v>141</v>
      </c>
    </row>
    <row r="134" spans="1:11" ht="15.75">
      <c r="A134" s="5" t="s">
        <v>49</v>
      </c>
      <c r="B134" s="33" t="s">
        <v>164</v>
      </c>
      <c r="C134" s="34">
        <f t="shared" si="41"/>
        <v>26</v>
      </c>
      <c r="D134" s="35">
        <v>15</v>
      </c>
      <c r="E134" s="36">
        <v>11</v>
      </c>
      <c r="F134" s="37">
        <v>4</v>
      </c>
      <c r="G134" s="35">
        <f>1277+97</f>
        <v>1374</v>
      </c>
      <c r="H134" s="35">
        <f>1027+109</f>
        <v>1136</v>
      </c>
      <c r="I134" s="11">
        <f t="shared" si="43"/>
        <v>91.6</v>
      </c>
      <c r="J134" s="11">
        <f t="shared" si="44"/>
        <v>75.73333333333333</v>
      </c>
      <c r="K134" s="4">
        <f t="shared" si="42"/>
        <v>238</v>
      </c>
    </row>
    <row r="135" spans="1:11" ht="15.75">
      <c r="A135" s="5" t="s">
        <v>49</v>
      </c>
      <c r="B135" s="39" t="s">
        <v>124</v>
      </c>
      <c r="C135" s="34">
        <f t="shared" si="41"/>
        <v>24</v>
      </c>
      <c r="D135" s="35">
        <v>15</v>
      </c>
      <c r="E135" s="36">
        <v>9</v>
      </c>
      <c r="F135" s="37">
        <v>6</v>
      </c>
      <c r="G135" s="35">
        <f>1089+85</f>
        <v>1174</v>
      </c>
      <c r="H135" s="35">
        <f>1072+99</f>
        <v>1171</v>
      </c>
      <c r="I135" s="11">
        <f t="shared" si="43"/>
        <v>78.26666666666667</v>
      </c>
      <c r="J135" s="11">
        <f t="shared" si="44"/>
        <v>78.06666666666666</v>
      </c>
      <c r="K135" s="4">
        <f t="shared" si="42"/>
        <v>3</v>
      </c>
    </row>
    <row r="136" spans="1:11" ht="15.75">
      <c r="A136" s="5" t="s">
        <v>49</v>
      </c>
      <c r="B136" s="38" t="s">
        <v>165</v>
      </c>
      <c r="C136" s="34">
        <f t="shared" si="41"/>
        <v>24</v>
      </c>
      <c r="D136" s="35">
        <v>15</v>
      </c>
      <c r="E136" s="36">
        <v>9</v>
      </c>
      <c r="F136" s="37">
        <v>6</v>
      </c>
      <c r="G136" s="35">
        <f>1197+97</f>
        <v>1294</v>
      </c>
      <c r="H136" s="35">
        <v>1195</v>
      </c>
      <c r="I136" s="11">
        <f t="shared" si="43"/>
        <v>86.26666666666667</v>
      </c>
      <c r="J136" s="11">
        <f t="shared" si="44"/>
        <v>79.66666666666667</v>
      </c>
      <c r="K136" s="4">
        <f t="shared" si="42"/>
        <v>99</v>
      </c>
    </row>
    <row r="137" spans="1:11" ht="15.75">
      <c r="A137" s="5" t="s">
        <v>49</v>
      </c>
      <c r="B137" s="33" t="s">
        <v>47</v>
      </c>
      <c r="C137" s="34">
        <f t="shared" si="41"/>
        <v>23</v>
      </c>
      <c r="D137" s="35">
        <v>15</v>
      </c>
      <c r="E137" s="36">
        <v>8</v>
      </c>
      <c r="F137" s="37">
        <v>7</v>
      </c>
      <c r="G137" s="35">
        <f>1089+90</f>
        <v>1179</v>
      </c>
      <c r="H137" s="35">
        <f>1111+97</f>
        <v>1208</v>
      </c>
      <c r="I137" s="11">
        <f t="shared" si="43"/>
        <v>78.6</v>
      </c>
      <c r="J137" s="11">
        <f t="shared" si="44"/>
        <v>80.53333333333333</v>
      </c>
      <c r="K137" s="4">
        <f t="shared" si="42"/>
        <v>-29</v>
      </c>
    </row>
    <row r="138" spans="1:11" ht="15.75">
      <c r="A138" s="5" t="s">
        <v>49</v>
      </c>
      <c r="B138" s="33" t="s">
        <v>68</v>
      </c>
      <c r="C138" s="34">
        <f t="shared" si="41"/>
        <v>23</v>
      </c>
      <c r="D138" s="35">
        <v>15</v>
      </c>
      <c r="E138" s="36">
        <v>8</v>
      </c>
      <c r="F138" s="37">
        <v>7</v>
      </c>
      <c r="G138" s="35">
        <f>1257+109</f>
        <v>1366</v>
      </c>
      <c r="H138" s="35">
        <f>1258+97</f>
        <v>1355</v>
      </c>
      <c r="I138" s="11">
        <f t="shared" si="43"/>
        <v>91.06666666666666</v>
      </c>
      <c r="J138" s="11">
        <f t="shared" si="44"/>
        <v>90.33333333333333</v>
      </c>
      <c r="K138" s="4">
        <f t="shared" si="42"/>
        <v>11</v>
      </c>
    </row>
    <row r="139" spans="1:11" ht="15.75">
      <c r="A139" s="5" t="s">
        <v>49</v>
      </c>
      <c r="B139" s="33" t="s">
        <v>126</v>
      </c>
      <c r="C139" s="34">
        <f t="shared" si="41"/>
        <v>22</v>
      </c>
      <c r="D139" s="35">
        <v>15</v>
      </c>
      <c r="E139" s="36">
        <v>7</v>
      </c>
      <c r="F139" s="37">
        <v>8</v>
      </c>
      <c r="G139" s="35">
        <f>1160+94</f>
        <v>1254</v>
      </c>
      <c r="H139" s="35">
        <v>1264</v>
      </c>
      <c r="I139" s="11">
        <f t="shared" si="43"/>
        <v>83.6</v>
      </c>
      <c r="J139" s="11">
        <f t="shared" si="44"/>
        <v>84.26666666666667</v>
      </c>
      <c r="K139" s="4">
        <f t="shared" si="42"/>
        <v>-10</v>
      </c>
    </row>
    <row r="140" spans="1:11" ht="15.75">
      <c r="A140" s="5" t="s">
        <v>49</v>
      </c>
      <c r="B140" s="40" t="s">
        <v>125</v>
      </c>
      <c r="C140" s="34">
        <f t="shared" si="41"/>
        <v>22</v>
      </c>
      <c r="D140" s="35">
        <v>15</v>
      </c>
      <c r="E140" s="36">
        <v>7</v>
      </c>
      <c r="F140" s="37">
        <v>8</v>
      </c>
      <c r="G140" s="35">
        <f>1134+89</f>
        <v>1223</v>
      </c>
      <c r="H140" s="35">
        <f>1126+84</f>
        <v>1210</v>
      </c>
      <c r="I140" s="11">
        <f t="shared" si="43"/>
        <v>81.53333333333333</v>
      </c>
      <c r="J140" s="11">
        <f t="shared" si="44"/>
        <v>80.66666666666667</v>
      </c>
      <c r="K140" s="4">
        <f t="shared" si="42"/>
        <v>13</v>
      </c>
    </row>
    <row r="141" spans="1:11" ht="15.75">
      <c r="A141" s="5" t="s">
        <v>49</v>
      </c>
      <c r="B141" s="33" t="s">
        <v>166</v>
      </c>
      <c r="C141" s="34">
        <f>D141+E141</f>
        <v>19</v>
      </c>
      <c r="D141" s="35">
        <v>15</v>
      </c>
      <c r="E141" s="36">
        <v>4</v>
      </c>
      <c r="F141" s="37">
        <v>11</v>
      </c>
      <c r="G141" s="35">
        <f>1050+64</f>
        <v>1114</v>
      </c>
      <c r="H141" s="35">
        <f>1155+78</f>
        <v>1233</v>
      </c>
      <c r="I141" s="11">
        <f t="shared" si="43"/>
        <v>74.26666666666667</v>
      </c>
      <c r="J141" s="11">
        <f t="shared" si="44"/>
        <v>82.2</v>
      </c>
      <c r="K141" s="4">
        <f t="shared" si="42"/>
        <v>-119</v>
      </c>
    </row>
    <row r="142" spans="1:12" ht="15.75">
      <c r="A142" s="5" t="s">
        <v>49</v>
      </c>
      <c r="B142" s="49" t="s">
        <v>51</v>
      </c>
      <c r="C142" s="34">
        <f>D142+E142</f>
        <v>17</v>
      </c>
      <c r="D142" s="35">
        <v>15</v>
      </c>
      <c r="E142" s="36">
        <v>2</v>
      </c>
      <c r="F142" s="37">
        <v>13</v>
      </c>
      <c r="G142" s="35">
        <v>1086</v>
      </c>
      <c r="H142" s="35">
        <f>1236+89</f>
        <v>1325</v>
      </c>
      <c r="I142" s="11">
        <f t="shared" si="43"/>
        <v>72.4</v>
      </c>
      <c r="J142" s="11">
        <f t="shared" si="44"/>
        <v>88.33333333333333</v>
      </c>
      <c r="K142" s="4">
        <f t="shared" si="42"/>
        <v>-239</v>
      </c>
      <c r="L142" s="2"/>
    </row>
    <row r="143" spans="1:13" ht="15.75">
      <c r="A143" s="5" t="s">
        <v>49</v>
      </c>
      <c r="B143" s="39" t="s">
        <v>127</v>
      </c>
      <c r="C143" s="34">
        <f>D143+E143</f>
        <v>17</v>
      </c>
      <c r="D143" s="35">
        <v>15</v>
      </c>
      <c r="E143" s="36">
        <v>2</v>
      </c>
      <c r="F143" s="37">
        <v>13</v>
      </c>
      <c r="G143" s="35">
        <f>1059+63</f>
        <v>1122</v>
      </c>
      <c r="H143" s="35">
        <f>1224+94</f>
        <v>1318</v>
      </c>
      <c r="I143" s="11">
        <f t="shared" si="43"/>
        <v>74.8</v>
      </c>
      <c r="J143" s="11">
        <f t="shared" si="44"/>
        <v>87.86666666666666</v>
      </c>
      <c r="K143" s="4">
        <f t="shared" si="42"/>
        <v>-196</v>
      </c>
      <c r="L143" s="2"/>
      <c r="M143" s="1">
        <f>SUM(I132:I143)/12</f>
        <v>82.09999999999998</v>
      </c>
    </row>
    <row r="144" spans="3:11" ht="16.5" customHeight="1">
      <c r="C144" s="16"/>
      <c r="D144" s="3"/>
      <c r="E144" s="16"/>
      <c r="F144" s="16"/>
      <c r="G144" s="3"/>
      <c r="H144" s="3"/>
      <c r="I144" s="11"/>
      <c r="J144" s="11"/>
      <c r="K144" s="4"/>
    </row>
    <row r="145" spans="1:11" ht="15.75">
      <c r="A145" s="5" t="s">
        <v>50</v>
      </c>
      <c r="B145" s="33" t="s">
        <v>114</v>
      </c>
      <c r="C145" s="34">
        <f>D145+E145</f>
        <v>28</v>
      </c>
      <c r="D145" s="35">
        <v>15</v>
      </c>
      <c r="E145" s="36">
        <v>13</v>
      </c>
      <c r="F145" s="37">
        <v>2</v>
      </c>
      <c r="G145" s="35">
        <f>1178+88</f>
        <v>1266</v>
      </c>
      <c r="H145" s="35">
        <f>991+70</f>
        <v>1061</v>
      </c>
      <c r="I145" s="11">
        <f>G145/D145</f>
        <v>84.4</v>
      </c>
      <c r="J145" s="11">
        <f>H145/D145</f>
        <v>70.73333333333333</v>
      </c>
      <c r="K145" s="4">
        <f aca="true" t="shared" si="45" ref="K145:K156">G145-H145</f>
        <v>205</v>
      </c>
    </row>
    <row r="146" spans="1:11" ht="15.75">
      <c r="A146" s="5" t="s">
        <v>50</v>
      </c>
      <c r="B146" s="39" t="s">
        <v>176</v>
      </c>
      <c r="C146" s="34">
        <f>D146+E146</f>
        <v>26</v>
      </c>
      <c r="D146" s="35">
        <v>15</v>
      </c>
      <c r="E146" s="36">
        <v>11</v>
      </c>
      <c r="F146" s="37">
        <v>4</v>
      </c>
      <c r="G146" s="35">
        <f>1104+65</f>
        <v>1169</v>
      </c>
      <c r="H146" s="35">
        <f>964+72</f>
        <v>1036</v>
      </c>
      <c r="I146" s="11">
        <f aca="true" t="shared" si="46" ref="I146:I156">G146/D146</f>
        <v>77.93333333333334</v>
      </c>
      <c r="J146" s="11">
        <f aca="true" t="shared" si="47" ref="J146:J156">H146/D146</f>
        <v>69.06666666666666</v>
      </c>
      <c r="K146" s="4">
        <f t="shared" si="45"/>
        <v>133</v>
      </c>
    </row>
    <row r="147" spans="1:11" ht="15.75">
      <c r="A147" s="5" t="s">
        <v>50</v>
      </c>
      <c r="B147" s="38" t="s">
        <v>69</v>
      </c>
      <c r="C147" s="34">
        <f>D147+E147</f>
        <v>25</v>
      </c>
      <c r="D147" s="35">
        <v>15</v>
      </c>
      <c r="E147" s="36">
        <v>10</v>
      </c>
      <c r="F147" s="37">
        <v>5</v>
      </c>
      <c r="G147" s="35">
        <f>1112+104</f>
        <v>1216</v>
      </c>
      <c r="H147" s="35">
        <f>1040+64</f>
        <v>1104</v>
      </c>
      <c r="I147" s="11">
        <f t="shared" si="46"/>
        <v>81.06666666666666</v>
      </c>
      <c r="J147" s="11">
        <f t="shared" si="47"/>
        <v>73.6</v>
      </c>
      <c r="K147" s="4">
        <f t="shared" si="45"/>
        <v>112</v>
      </c>
    </row>
    <row r="148" spans="1:11" ht="15.75">
      <c r="A148" s="5" t="s">
        <v>50</v>
      </c>
      <c r="B148" s="33" t="s">
        <v>48</v>
      </c>
      <c r="C148" s="34">
        <f aca="true" t="shared" si="48" ref="C148:C156">D148+E148</f>
        <v>24</v>
      </c>
      <c r="D148" s="35">
        <v>15</v>
      </c>
      <c r="E148" s="36">
        <v>9</v>
      </c>
      <c r="F148" s="37">
        <v>6</v>
      </c>
      <c r="G148" s="35">
        <f>1037+79</f>
        <v>1116</v>
      </c>
      <c r="H148" s="35">
        <f>997+87</f>
        <v>1084</v>
      </c>
      <c r="I148" s="11">
        <f t="shared" si="46"/>
        <v>74.4</v>
      </c>
      <c r="J148" s="11">
        <f t="shared" si="47"/>
        <v>72.26666666666667</v>
      </c>
      <c r="K148" s="4">
        <f t="shared" si="45"/>
        <v>32</v>
      </c>
    </row>
    <row r="149" spans="1:11" ht="15.75">
      <c r="A149" s="5" t="s">
        <v>50</v>
      </c>
      <c r="B149" s="40" t="s">
        <v>177</v>
      </c>
      <c r="C149" s="34">
        <f t="shared" si="48"/>
        <v>24</v>
      </c>
      <c r="D149" s="35">
        <v>15</v>
      </c>
      <c r="E149" s="36">
        <v>9</v>
      </c>
      <c r="F149" s="37">
        <v>6</v>
      </c>
      <c r="G149" s="35">
        <f>1188+72</f>
        <v>1260</v>
      </c>
      <c r="H149" s="35">
        <f>1069+65</f>
        <v>1134</v>
      </c>
      <c r="I149" s="11">
        <f t="shared" si="46"/>
        <v>84</v>
      </c>
      <c r="J149" s="11">
        <f t="shared" si="47"/>
        <v>75.6</v>
      </c>
      <c r="K149" s="4">
        <f t="shared" si="45"/>
        <v>126</v>
      </c>
    </row>
    <row r="150" spans="1:11" ht="15.75">
      <c r="A150" s="5" t="s">
        <v>50</v>
      </c>
      <c r="B150" s="33" t="s">
        <v>178</v>
      </c>
      <c r="C150" s="34">
        <f t="shared" si="48"/>
        <v>23</v>
      </c>
      <c r="D150" s="35">
        <v>15</v>
      </c>
      <c r="E150" s="36">
        <v>8</v>
      </c>
      <c r="F150" s="37">
        <v>7</v>
      </c>
      <c r="G150" s="35">
        <f>1093+70</f>
        <v>1163</v>
      </c>
      <c r="H150" s="35">
        <f>1088+88</f>
        <v>1176</v>
      </c>
      <c r="I150" s="11">
        <f t="shared" si="46"/>
        <v>77.53333333333333</v>
      </c>
      <c r="J150" s="11">
        <f t="shared" si="47"/>
        <v>78.4</v>
      </c>
      <c r="K150" s="4">
        <f t="shared" si="45"/>
        <v>-13</v>
      </c>
    </row>
    <row r="151" spans="1:11" ht="15.75">
      <c r="A151" s="5" t="s">
        <v>50</v>
      </c>
      <c r="B151" s="40" t="s">
        <v>116</v>
      </c>
      <c r="C151" s="34">
        <f t="shared" si="48"/>
        <v>23</v>
      </c>
      <c r="D151" s="35">
        <v>15</v>
      </c>
      <c r="E151" s="36">
        <v>8</v>
      </c>
      <c r="F151" s="37">
        <v>7</v>
      </c>
      <c r="G151" s="35">
        <f>1070+83</f>
        <v>1153</v>
      </c>
      <c r="H151" s="35">
        <f>1034+77</f>
        <v>1111</v>
      </c>
      <c r="I151" s="11">
        <f t="shared" si="46"/>
        <v>76.86666666666666</v>
      </c>
      <c r="J151" s="11">
        <f t="shared" si="47"/>
        <v>74.06666666666666</v>
      </c>
      <c r="K151" s="4">
        <f t="shared" si="45"/>
        <v>42</v>
      </c>
    </row>
    <row r="152" spans="1:11" ht="15.75">
      <c r="A152" s="5" t="s">
        <v>50</v>
      </c>
      <c r="B152" s="39" t="s">
        <v>118</v>
      </c>
      <c r="C152" s="34">
        <f t="shared" si="48"/>
        <v>21</v>
      </c>
      <c r="D152" s="35">
        <v>15</v>
      </c>
      <c r="E152" s="36">
        <v>6</v>
      </c>
      <c r="F152" s="37">
        <v>9</v>
      </c>
      <c r="G152" s="35">
        <f>1098+77</f>
        <v>1175</v>
      </c>
      <c r="H152" s="35">
        <f>1102+83</f>
        <v>1185</v>
      </c>
      <c r="I152" s="11">
        <f t="shared" si="46"/>
        <v>78.33333333333333</v>
      </c>
      <c r="J152" s="11">
        <f t="shared" si="47"/>
        <v>79</v>
      </c>
      <c r="K152" s="4">
        <f t="shared" si="45"/>
        <v>-10</v>
      </c>
    </row>
    <row r="153" spans="1:11" ht="15.75">
      <c r="A153" s="5" t="s">
        <v>50</v>
      </c>
      <c r="B153" s="38" t="s">
        <v>52</v>
      </c>
      <c r="C153" s="34">
        <f t="shared" si="48"/>
        <v>21</v>
      </c>
      <c r="D153" s="35">
        <v>15</v>
      </c>
      <c r="E153" s="36">
        <v>6</v>
      </c>
      <c r="F153" s="37">
        <v>9</v>
      </c>
      <c r="G153" s="35">
        <f>1014+87</f>
        <v>1101</v>
      </c>
      <c r="H153" s="35">
        <f>1063+79</f>
        <v>1142</v>
      </c>
      <c r="I153" s="11">
        <f t="shared" si="46"/>
        <v>73.4</v>
      </c>
      <c r="J153" s="11">
        <f t="shared" si="47"/>
        <v>76.13333333333334</v>
      </c>
      <c r="K153" s="4">
        <f t="shared" si="45"/>
        <v>-41</v>
      </c>
    </row>
    <row r="154" spans="1:11" ht="15.75">
      <c r="A154" s="5" t="s">
        <v>50</v>
      </c>
      <c r="B154" s="33" t="s">
        <v>179</v>
      </c>
      <c r="C154" s="34">
        <f t="shared" si="48"/>
        <v>21</v>
      </c>
      <c r="D154" s="35">
        <v>15</v>
      </c>
      <c r="E154" s="36">
        <v>6</v>
      </c>
      <c r="F154" s="37">
        <v>9</v>
      </c>
      <c r="G154" s="35">
        <f>1012+69</f>
        <v>1081</v>
      </c>
      <c r="H154" s="35">
        <f>1098+58</f>
        <v>1156</v>
      </c>
      <c r="I154" s="11">
        <f t="shared" si="46"/>
        <v>72.06666666666666</v>
      </c>
      <c r="J154" s="11">
        <f t="shared" si="47"/>
        <v>77.06666666666666</v>
      </c>
      <c r="K154" s="4">
        <f t="shared" si="45"/>
        <v>-75</v>
      </c>
    </row>
    <row r="155" spans="1:11" ht="15.75">
      <c r="A155" s="5" t="s">
        <v>50</v>
      </c>
      <c r="B155" s="39" t="s">
        <v>121</v>
      </c>
      <c r="C155" s="34">
        <f t="shared" si="48"/>
        <v>18</v>
      </c>
      <c r="D155" s="35">
        <v>15</v>
      </c>
      <c r="E155" s="36">
        <v>3</v>
      </c>
      <c r="F155" s="37">
        <v>12</v>
      </c>
      <c r="G155" s="35">
        <f>923+58</f>
        <v>981</v>
      </c>
      <c r="H155" s="35">
        <f>1105+69</f>
        <v>1174</v>
      </c>
      <c r="I155" s="11">
        <f t="shared" si="46"/>
        <v>65.4</v>
      </c>
      <c r="J155" s="11">
        <f t="shared" si="47"/>
        <v>78.26666666666667</v>
      </c>
      <c r="K155" s="4">
        <f t="shared" si="45"/>
        <v>-193</v>
      </c>
    </row>
    <row r="156" spans="1:13" ht="15.75">
      <c r="A156" s="5" t="s">
        <v>50</v>
      </c>
      <c r="B156" s="39" t="s">
        <v>122</v>
      </c>
      <c r="C156" s="34">
        <f t="shared" si="48"/>
        <v>16</v>
      </c>
      <c r="D156" s="35">
        <v>15</v>
      </c>
      <c r="E156" s="36">
        <v>1</v>
      </c>
      <c r="F156" s="37">
        <v>14</v>
      </c>
      <c r="G156" s="35">
        <f>962+64</f>
        <v>1026</v>
      </c>
      <c r="H156" s="35">
        <f>1240+104</f>
        <v>1344</v>
      </c>
      <c r="I156" s="11">
        <f t="shared" si="46"/>
        <v>68.4</v>
      </c>
      <c r="J156" s="11">
        <f t="shared" si="47"/>
        <v>89.6</v>
      </c>
      <c r="K156" s="4">
        <f t="shared" si="45"/>
        <v>-318</v>
      </c>
      <c r="L156" s="2"/>
      <c r="M156" s="1">
        <f>SUM(I145:I156)/12</f>
        <v>76.14999999999999</v>
      </c>
    </row>
    <row r="157" spans="3:11" ht="16.5" customHeight="1">
      <c r="C157" s="16"/>
      <c r="D157" s="3"/>
      <c r="E157" s="16"/>
      <c r="F157" s="16"/>
      <c r="G157" s="3"/>
      <c r="H157" s="3"/>
      <c r="I157" s="3"/>
      <c r="J157" s="3"/>
      <c r="K157" s="4"/>
    </row>
    <row r="158" spans="3:13" ht="13.5" customHeight="1">
      <c r="C158" s="16"/>
      <c r="D158" s="3"/>
      <c r="E158" s="16"/>
      <c r="F158" s="16"/>
      <c r="G158" s="3">
        <f>SUM(G1:G156)</f>
        <v>168210</v>
      </c>
      <c r="H158" s="3">
        <f>SUM(H1:H156)</f>
        <v>168210</v>
      </c>
      <c r="I158" s="11">
        <f>SUM(I1:I156)/144</f>
        <v>77.94596560846561</v>
      </c>
      <c r="J158" s="11">
        <f>SUM(J1:J156)/144</f>
        <v>77.94507275132281</v>
      </c>
      <c r="K158" s="3">
        <f>SUM(K1:K156)</f>
        <v>0</v>
      </c>
      <c r="M158" s="1">
        <f>SUM(M1:M156)/12</f>
        <v>77.94596560846561</v>
      </c>
    </row>
    <row r="159" spans="3:11" ht="15.75">
      <c r="C159" s="16"/>
      <c r="D159" s="3"/>
      <c r="E159" s="16"/>
      <c r="F159" s="16"/>
      <c r="G159" s="3"/>
      <c r="H159" s="3"/>
      <c r="I159" s="3"/>
      <c r="J159" s="3"/>
      <c r="K159" s="3"/>
    </row>
    <row r="160" spans="3:11" ht="15.75">
      <c r="C160" s="16"/>
      <c r="D160" s="3"/>
      <c r="E160" s="16"/>
      <c r="F160" s="16"/>
      <c r="G160" s="3"/>
      <c r="H160" s="3"/>
      <c r="I160" s="3"/>
      <c r="J160" s="3"/>
      <c r="K160" s="3"/>
    </row>
    <row r="161" spans="3:11" ht="15.75">
      <c r="C161" s="16"/>
      <c r="D161" s="3"/>
      <c r="E161" s="16"/>
      <c r="F161" s="16"/>
      <c r="G161" s="3"/>
      <c r="H161" s="3"/>
      <c r="I161" s="3"/>
      <c r="J161" s="3"/>
      <c r="K161" s="3"/>
    </row>
    <row r="162" spans="3:11" ht="15.75">
      <c r="C162" s="16"/>
      <c r="D162" s="3"/>
      <c r="E162" s="16"/>
      <c r="F162" s="16"/>
      <c r="G162" s="3"/>
      <c r="H162" s="3"/>
      <c r="I162" s="3"/>
      <c r="J162" s="3"/>
      <c r="K162" s="3"/>
    </row>
    <row r="163" spans="3:11" ht="15.75">
      <c r="C163" s="16"/>
      <c r="D163" s="3"/>
      <c r="E163" s="16"/>
      <c r="F163" s="16"/>
      <c r="G163" s="3"/>
      <c r="H163" s="3"/>
      <c r="I163" s="3"/>
      <c r="J163" s="3"/>
      <c r="K163" s="3"/>
    </row>
    <row r="164" spans="3:11" ht="15.75">
      <c r="C164" s="16"/>
      <c r="D164" s="3"/>
      <c r="E164" s="16"/>
      <c r="F164" s="16"/>
      <c r="G164" s="3"/>
      <c r="H164" s="3"/>
      <c r="I164" s="3"/>
      <c r="J164" s="3"/>
      <c r="K164" s="3"/>
    </row>
    <row r="165" spans="3:11" ht="15.75">
      <c r="C165" s="16"/>
      <c r="D165" s="3"/>
      <c r="E165" s="16"/>
      <c r="F165" s="16"/>
      <c r="G165" s="3"/>
      <c r="H165" s="3"/>
      <c r="I165" s="3"/>
      <c r="J165" s="3"/>
      <c r="K165" s="3"/>
    </row>
    <row r="166" spans="3:11" ht="15.75">
      <c r="C166" s="16"/>
      <c r="D166" s="3"/>
      <c r="E166" s="16"/>
      <c r="F166" s="16"/>
      <c r="G166" s="3"/>
      <c r="H166" s="3"/>
      <c r="I166" s="3"/>
      <c r="J166" s="3"/>
      <c r="K166" s="3"/>
    </row>
    <row r="167" spans="3:11" ht="15.75">
      <c r="C167" s="16"/>
      <c r="D167" s="3"/>
      <c r="E167" s="16"/>
      <c r="F167" s="16"/>
      <c r="G167" s="3"/>
      <c r="H167" s="3"/>
      <c r="I167" s="3"/>
      <c r="J167" s="3"/>
      <c r="K167" s="3"/>
    </row>
    <row r="168" spans="7:8" ht="15.75">
      <c r="G168" s="3"/>
      <c r="H168" s="3"/>
    </row>
    <row r="169" spans="7:8" ht="15.75">
      <c r="G169" s="3"/>
      <c r="H169" s="3"/>
    </row>
    <row r="170" spans="7:8" ht="15.75">
      <c r="G170" s="3"/>
      <c r="H170" s="3"/>
    </row>
    <row r="171" spans="7:8" ht="15.75">
      <c r="G171" s="3"/>
      <c r="H171" s="3"/>
    </row>
    <row r="172" spans="7:8" ht="15.75">
      <c r="G172" s="3"/>
      <c r="H172" s="3"/>
    </row>
    <row r="173" spans="7:8" ht="15.75">
      <c r="G173" s="3"/>
      <c r="H173" s="3"/>
    </row>
  </sheetData>
  <printOptions gridLines="1" horizontalCentered="1"/>
  <pageMargins left="0.7874015748031497" right="0.7874015748031497" top="0.44" bottom="0.65" header="0.07874015748031496" footer="0.63"/>
  <pageSetup horizontalDpi="300" verticalDpi="300" orientation="portrait" paperSize="9" scale="96" r:id="rId1"/>
  <headerFooter alignWithMargins="0">
    <oddHeader>&amp;C&amp;A 2000-2001, fait après la journée n°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3" customWidth="1"/>
    <col min="2" max="2" width="2.625" style="0" customWidth="1"/>
    <col min="3" max="3" width="17.625" style="0" customWidth="1"/>
    <col min="4" max="4" width="1.875" style="0" bestFit="1" customWidth="1"/>
    <col min="5" max="5" width="4.00390625" style="0" customWidth="1"/>
    <col min="6" max="6" width="4.875" style="0" bestFit="1" customWidth="1"/>
    <col min="7" max="7" width="5.375" style="0" bestFit="1" customWidth="1"/>
  </cols>
  <sheetData>
    <row r="1" spans="1:7" ht="15.75">
      <c r="A1" s="3">
        <v>1</v>
      </c>
      <c r="B1" s="5" t="s">
        <v>10</v>
      </c>
      <c r="C1" s="17" t="s">
        <v>12</v>
      </c>
      <c r="D1" s="16"/>
      <c r="E1" s="16">
        <v>11</v>
      </c>
      <c r="F1" s="16">
        <f>976+108</f>
        <v>1084</v>
      </c>
      <c r="G1" s="11">
        <f aca="true" t="shared" si="0" ref="G1:G32">F1/E1</f>
        <v>98.54545454545455</v>
      </c>
    </row>
    <row r="2" spans="1:7" ht="15.75">
      <c r="A2" s="3">
        <f>A1+1</f>
        <v>2</v>
      </c>
      <c r="B2" s="5" t="s">
        <v>44</v>
      </c>
      <c r="C2" s="19" t="s">
        <v>64</v>
      </c>
      <c r="D2" s="16"/>
      <c r="E2" s="16">
        <v>11</v>
      </c>
      <c r="F2" s="16">
        <f>902+89</f>
        <v>991</v>
      </c>
      <c r="G2" s="11">
        <f t="shared" si="0"/>
        <v>90.0909090909091</v>
      </c>
    </row>
    <row r="3" spans="1:7" ht="15.75">
      <c r="A3" s="3">
        <f aca="true" t="shared" si="1" ref="A3:A18">A2+1</f>
        <v>3</v>
      </c>
      <c r="B3" s="5" t="s">
        <v>32</v>
      </c>
      <c r="C3" s="17" t="s">
        <v>62</v>
      </c>
      <c r="D3" s="16"/>
      <c r="E3" s="16">
        <v>11</v>
      </c>
      <c r="F3" s="16">
        <f>907+83</f>
        <v>990</v>
      </c>
      <c r="G3" s="11">
        <f t="shared" si="0"/>
        <v>90</v>
      </c>
    </row>
    <row r="4" spans="1:7" ht="15.75">
      <c r="A4" s="3">
        <f t="shared" si="1"/>
        <v>4</v>
      </c>
      <c r="B4" s="5" t="s">
        <v>49</v>
      </c>
      <c r="C4" s="17" t="s">
        <v>68</v>
      </c>
      <c r="D4" s="16"/>
      <c r="E4" s="16">
        <v>11</v>
      </c>
      <c r="F4" s="16">
        <f>888+95</f>
        <v>983</v>
      </c>
      <c r="G4" s="11">
        <f t="shared" si="0"/>
        <v>89.36363636363636</v>
      </c>
    </row>
    <row r="5" spans="1:7" ht="15.75">
      <c r="A5" s="3">
        <f t="shared" si="1"/>
        <v>5</v>
      </c>
      <c r="B5" s="5" t="s">
        <v>44</v>
      </c>
      <c r="C5" s="17" t="s">
        <v>45</v>
      </c>
      <c r="D5" s="16"/>
      <c r="E5" s="16">
        <v>11</v>
      </c>
      <c r="F5" s="16">
        <f>869+112</f>
        <v>981</v>
      </c>
      <c r="G5" s="11">
        <f t="shared" si="0"/>
        <v>89.18181818181819</v>
      </c>
    </row>
    <row r="6" spans="1:7" ht="15.75">
      <c r="A6" s="3">
        <f t="shared" si="1"/>
        <v>6</v>
      </c>
      <c r="B6" s="5" t="s">
        <v>49</v>
      </c>
      <c r="C6" s="17" t="s">
        <v>164</v>
      </c>
      <c r="D6" s="16"/>
      <c r="E6" s="16">
        <v>11</v>
      </c>
      <c r="F6" s="16">
        <f>890+89</f>
        <v>979</v>
      </c>
      <c r="G6" s="11">
        <f t="shared" si="0"/>
        <v>89</v>
      </c>
    </row>
    <row r="7" spans="1:7" ht="15.75">
      <c r="A7" s="3">
        <f t="shared" si="1"/>
        <v>7</v>
      </c>
      <c r="B7" s="5" t="s">
        <v>10</v>
      </c>
      <c r="C7" s="17" t="s">
        <v>108</v>
      </c>
      <c r="D7" s="16"/>
      <c r="E7" s="16">
        <v>11</v>
      </c>
      <c r="F7" s="16">
        <f>892+79</f>
        <v>971</v>
      </c>
      <c r="G7" s="11">
        <f t="shared" si="0"/>
        <v>88.27272727272727</v>
      </c>
    </row>
    <row r="8" spans="1:7" ht="15.75">
      <c r="A8" s="3">
        <f t="shared" si="1"/>
        <v>8</v>
      </c>
      <c r="B8" s="5" t="s">
        <v>28</v>
      </c>
      <c r="C8" s="17" t="s">
        <v>34</v>
      </c>
      <c r="D8" s="16"/>
      <c r="E8" s="16">
        <v>11</v>
      </c>
      <c r="F8" s="16">
        <f>881+83</f>
        <v>964</v>
      </c>
      <c r="G8" s="11">
        <f t="shared" si="0"/>
        <v>87.63636363636364</v>
      </c>
    </row>
    <row r="9" spans="1:7" ht="15.75">
      <c r="A9" s="3">
        <f t="shared" si="1"/>
        <v>9</v>
      </c>
      <c r="B9" s="5" t="s">
        <v>21</v>
      </c>
      <c r="C9" s="14" t="s">
        <v>13</v>
      </c>
      <c r="D9" s="16"/>
      <c r="E9" s="16">
        <v>11</v>
      </c>
      <c r="F9" s="16">
        <f>872+88</f>
        <v>960</v>
      </c>
      <c r="G9" s="11">
        <f t="shared" si="0"/>
        <v>87.27272727272727</v>
      </c>
    </row>
    <row r="10" spans="1:7" ht="15.75">
      <c r="A10" s="3">
        <f t="shared" si="1"/>
        <v>10</v>
      </c>
      <c r="B10" s="5" t="s">
        <v>10</v>
      </c>
      <c r="C10" s="19" t="s">
        <v>11</v>
      </c>
      <c r="D10" s="16"/>
      <c r="E10" s="16">
        <v>11</v>
      </c>
      <c r="F10" s="16">
        <f>867+91</f>
        <v>958</v>
      </c>
      <c r="G10" s="11">
        <f t="shared" si="0"/>
        <v>87.0909090909091</v>
      </c>
    </row>
    <row r="11" spans="1:7" ht="15.75">
      <c r="A11" s="3">
        <f t="shared" si="1"/>
        <v>11</v>
      </c>
      <c r="B11" s="5" t="s">
        <v>21</v>
      </c>
      <c r="C11" s="19" t="s">
        <v>93</v>
      </c>
      <c r="D11" s="16"/>
      <c r="E11" s="16">
        <v>11</v>
      </c>
      <c r="F11" s="16">
        <v>957</v>
      </c>
      <c r="G11" s="11">
        <f t="shared" si="0"/>
        <v>87</v>
      </c>
    </row>
    <row r="12" spans="1:7" ht="15.75">
      <c r="A12" s="3">
        <f t="shared" si="1"/>
        <v>12</v>
      </c>
      <c r="B12" s="5" t="s">
        <v>36</v>
      </c>
      <c r="C12" s="17" t="s">
        <v>61</v>
      </c>
      <c r="D12" s="16"/>
      <c r="E12" s="16">
        <v>11</v>
      </c>
      <c r="F12" s="16">
        <f>858+99</f>
        <v>957</v>
      </c>
      <c r="G12" s="11">
        <f t="shared" si="0"/>
        <v>87</v>
      </c>
    </row>
    <row r="13" spans="1:7" ht="15.75">
      <c r="A13" s="3">
        <f t="shared" si="1"/>
        <v>13</v>
      </c>
      <c r="B13" s="5" t="s">
        <v>36</v>
      </c>
      <c r="C13" s="19" t="s">
        <v>157</v>
      </c>
      <c r="D13" s="16"/>
      <c r="E13" s="16">
        <v>11</v>
      </c>
      <c r="F13" s="16">
        <f>872+82</f>
        <v>954</v>
      </c>
      <c r="G13" s="11">
        <f t="shared" si="0"/>
        <v>86.72727272727273</v>
      </c>
    </row>
    <row r="14" spans="1:7" ht="15.75">
      <c r="A14" s="3">
        <f t="shared" si="1"/>
        <v>14</v>
      </c>
      <c r="B14" s="5" t="s">
        <v>49</v>
      </c>
      <c r="C14" s="19" t="s">
        <v>123</v>
      </c>
      <c r="D14" s="16"/>
      <c r="E14" s="16">
        <v>11</v>
      </c>
      <c r="F14" s="16">
        <f>858+96</f>
        <v>954</v>
      </c>
      <c r="G14" s="11">
        <f t="shared" si="0"/>
        <v>86.72727272727273</v>
      </c>
    </row>
    <row r="15" spans="1:7" ht="15.75">
      <c r="A15" s="3">
        <f t="shared" si="1"/>
        <v>15</v>
      </c>
      <c r="B15" s="5" t="s">
        <v>49</v>
      </c>
      <c r="C15" s="17" t="s">
        <v>46</v>
      </c>
      <c r="D15" s="16"/>
      <c r="E15" s="16">
        <v>11</v>
      </c>
      <c r="F15" s="16">
        <f>873+81</f>
        <v>954</v>
      </c>
      <c r="G15" s="11">
        <f t="shared" si="0"/>
        <v>86.72727272727273</v>
      </c>
    </row>
    <row r="16" spans="1:7" ht="15.75">
      <c r="A16" s="3">
        <f t="shared" si="1"/>
        <v>16</v>
      </c>
      <c r="B16" s="5" t="s">
        <v>10</v>
      </c>
      <c r="C16" s="17" t="s">
        <v>19</v>
      </c>
      <c r="D16" s="16"/>
      <c r="E16" s="16">
        <v>11</v>
      </c>
      <c r="F16" s="16">
        <f>877+71</f>
        <v>948</v>
      </c>
      <c r="G16" s="11">
        <f t="shared" si="0"/>
        <v>86.18181818181819</v>
      </c>
    </row>
    <row r="17" spans="1:7" ht="15.75">
      <c r="A17" s="3">
        <f t="shared" si="1"/>
        <v>17</v>
      </c>
      <c r="B17" s="5" t="s">
        <v>44</v>
      </c>
      <c r="C17" s="17" t="s">
        <v>128</v>
      </c>
      <c r="D17" s="16"/>
      <c r="E17" s="16">
        <v>11</v>
      </c>
      <c r="F17" s="16">
        <f>863+85</f>
        <v>948</v>
      </c>
      <c r="G17" s="11">
        <f t="shared" si="0"/>
        <v>86.18181818181819</v>
      </c>
    </row>
    <row r="18" spans="1:7" ht="15.75">
      <c r="A18" s="3">
        <f t="shared" si="1"/>
        <v>18</v>
      </c>
      <c r="B18" s="5" t="s">
        <v>40</v>
      </c>
      <c r="C18" s="17" t="s">
        <v>141</v>
      </c>
      <c r="D18" s="16"/>
      <c r="E18" s="16">
        <v>11</v>
      </c>
      <c r="F18" s="16">
        <f>852+93</f>
        <v>945</v>
      </c>
      <c r="G18" s="11">
        <f t="shared" si="0"/>
        <v>85.9090909090909</v>
      </c>
    </row>
    <row r="19" spans="1:7" ht="15.75">
      <c r="A19" s="3">
        <f aca="true" t="shared" si="2" ref="A19:A34">A18+1</f>
        <v>19</v>
      </c>
      <c r="B19" s="5" t="s">
        <v>49</v>
      </c>
      <c r="C19" s="17" t="s">
        <v>165</v>
      </c>
      <c r="D19" s="16"/>
      <c r="E19" s="16">
        <v>11</v>
      </c>
      <c r="F19" s="16">
        <f>831+110</f>
        <v>941</v>
      </c>
      <c r="G19" s="11">
        <f t="shared" si="0"/>
        <v>85.54545454545455</v>
      </c>
    </row>
    <row r="20" spans="1:7" ht="15.75">
      <c r="A20" s="3">
        <f t="shared" si="2"/>
        <v>20</v>
      </c>
      <c r="B20" s="5" t="s">
        <v>24</v>
      </c>
      <c r="C20" s="17" t="s">
        <v>83</v>
      </c>
      <c r="D20" s="16"/>
      <c r="E20" s="16">
        <v>11</v>
      </c>
      <c r="F20" s="16">
        <f>858+76</f>
        <v>934</v>
      </c>
      <c r="G20" s="11">
        <f t="shared" si="0"/>
        <v>84.9090909090909</v>
      </c>
    </row>
    <row r="21" spans="1:7" ht="15.75">
      <c r="A21" s="3">
        <f t="shared" si="2"/>
        <v>21</v>
      </c>
      <c r="B21" s="5" t="s">
        <v>28</v>
      </c>
      <c r="C21" s="17" t="s">
        <v>27</v>
      </c>
      <c r="D21" s="16"/>
      <c r="E21" s="16">
        <v>11</v>
      </c>
      <c r="F21" s="16">
        <f>854+80</f>
        <v>934</v>
      </c>
      <c r="G21" s="11">
        <f t="shared" si="0"/>
        <v>84.9090909090909</v>
      </c>
    </row>
    <row r="22" spans="1:7" ht="15.75">
      <c r="A22" s="3">
        <f t="shared" si="2"/>
        <v>22</v>
      </c>
      <c r="B22" s="5" t="s">
        <v>50</v>
      </c>
      <c r="C22" s="17" t="s">
        <v>117</v>
      </c>
      <c r="D22" s="16"/>
      <c r="E22" s="16">
        <v>11</v>
      </c>
      <c r="F22" s="16">
        <f>818+116</f>
        <v>934</v>
      </c>
      <c r="G22" s="11">
        <f t="shared" si="0"/>
        <v>84.9090909090909</v>
      </c>
    </row>
    <row r="23" spans="1:7" ht="15.75">
      <c r="A23" s="3">
        <f t="shared" si="2"/>
        <v>23</v>
      </c>
      <c r="B23" s="5" t="s">
        <v>10</v>
      </c>
      <c r="C23" s="17" t="s">
        <v>57</v>
      </c>
      <c r="D23" s="16"/>
      <c r="E23" s="16">
        <v>11</v>
      </c>
      <c r="F23" s="16">
        <f>857+72</f>
        <v>929</v>
      </c>
      <c r="G23" s="11">
        <f t="shared" si="0"/>
        <v>84.45454545454545</v>
      </c>
    </row>
    <row r="24" spans="1:7" ht="15.75">
      <c r="A24" s="3">
        <f t="shared" si="2"/>
        <v>24</v>
      </c>
      <c r="B24" s="5" t="s">
        <v>50</v>
      </c>
      <c r="C24" s="17" t="s">
        <v>114</v>
      </c>
      <c r="D24" s="16"/>
      <c r="E24" s="16">
        <v>11</v>
      </c>
      <c r="F24" s="16">
        <f>869+60</f>
        <v>929</v>
      </c>
      <c r="G24" s="11">
        <f t="shared" si="0"/>
        <v>84.45454545454545</v>
      </c>
    </row>
    <row r="25" spans="1:7" ht="15.75">
      <c r="A25" s="3">
        <f t="shared" si="2"/>
        <v>25</v>
      </c>
      <c r="B25" s="5" t="s">
        <v>44</v>
      </c>
      <c r="C25" s="17" t="s">
        <v>129</v>
      </c>
      <c r="D25" s="16"/>
      <c r="E25" s="16">
        <v>11</v>
      </c>
      <c r="F25" s="16">
        <f>844+81</f>
        <v>925</v>
      </c>
      <c r="G25" s="11">
        <f t="shared" si="0"/>
        <v>84.0909090909091</v>
      </c>
    </row>
    <row r="26" spans="1:7" ht="15.75">
      <c r="A26" s="3">
        <f t="shared" si="2"/>
        <v>26</v>
      </c>
      <c r="B26" s="5" t="s">
        <v>17</v>
      </c>
      <c r="C26" s="25" t="s">
        <v>16</v>
      </c>
      <c r="D26" s="26"/>
      <c r="E26" s="26">
        <v>11</v>
      </c>
      <c r="F26" s="26">
        <f>825+98</f>
        <v>923</v>
      </c>
      <c r="G26" s="11">
        <f t="shared" si="0"/>
        <v>83.9090909090909</v>
      </c>
    </row>
    <row r="27" spans="1:7" ht="15.75">
      <c r="A27" s="3">
        <f t="shared" si="2"/>
        <v>27</v>
      </c>
      <c r="B27" s="5" t="s">
        <v>32</v>
      </c>
      <c r="C27" s="19" t="s">
        <v>71</v>
      </c>
      <c r="D27" s="16"/>
      <c r="E27" s="16">
        <v>11</v>
      </c>
      <c r="F27" s="16">
        <f>834+89</f>
        <v>923</v>
      </c>
      <c r="G27" s="11">
        <f t="shared" si="0"/>
        <v>83.9090909090909</v>
      </c>
    </row>
    <row r="28" spans="1:7" ht="15.75">
      <c r="A28" s="3">
        <f t="shared" si="2"/>
        <v>28</v>
      </c>
      <c r="B28" s="5" t="s">
        <v>21</v>
      </c>
      <c r="C28" s="17" t="s">
        <v>95</v>
      </c>
      <c r="D28" s="16"/>
      <c r="E28" s="16">
        <v>11</v>
      </c>
      <c r="F28" s="16">
        <v>920</v>
      </c>
      <c r="G28" s="11">
        <f t="shared" si="0"/>
        <v>83.63636363636364</v>
      </c>
    </row>
    <row r="29" spans="1:7" ht="15.75">
      <c r="A29" s="3">
        <f t="shared" si="2"/>
        <v>29</v>
      </c>
      <c r="B29" s="5" t="s">
        <v>40</v>
      </c>
      <c r="C29" s="17" t="s">
        <v>139</v>
      </c>
      <c r="D29" s="16"/>
      <c r="E29" s="16">
        <v>11</v>
      </c>
      <c r="F29" s="16">
        <v>918</v>
      </c>
      <c r="G29" s="11">
        <f t="shared" si="0"/>
        <v>83.45454545454545</v>
      </c>
    </row>
    <row r="30" spans="1:7" ht="15.75">
      <c r="A30" s="3">
        <f t="shared" si="2"/>
        <v>30</v>
      </c>
      <c r="B30" s="5" t="s">
        <v>24</v>
      </c>
      <c r="C30" s="17" t="s">
        <v>84</v>
      </c>
      <c r="D30" s="16"/>
      <c r="E30" s="16">
        <v>11</v>
      </c>
      <c r="F30" s="16">
        <f>837+81</f>
        <v>918</v>
      </c>
      <c r="G30" s="11">
        <f t="shared" si="0"/>
        <v>83.45454545454545</v>
      </c>
    </row>
    <row r="31" spans="1:7" ht="15.75">
      <c r="A31" s="3">
        <f t="shared" si="2"/>
        <v>31</v>
      </c>
      <c r="B31" s="5" t="s">
        <v>38</v>
      </c>
      <c r="C31" s="17" t="s">
        <v>66</v>
      </c>
      <c r="D31" s="16"/>
      <c r="E31" s="16">
        <v>11</v>
      </c>
      <c r="F31" s="16">
        <f>828+87</f>
        <v>915</v>
      </c>
      <c r="G31" s="11">
        <f t="shared" si="0"/>
        <v>83.18181818181819</v>
      </c>
    </row>
    <row r="32" spans="1:7" ht="15.75">
      <c r="A32" s="3">
        <f t="shared" si="2"/>
        <v>32</v>
      </c>
      <c r="B32" s="5" t="s">
        <v>10</v>
      </c>
      <c r="C32" s="17" t="s">
        <v>15</v>
      </c>
      <c r="D32" s="16"/>
      <c r="E32" s="16">
        <v>11</v>
      </c>
      <c r="F32" s="16">
        <f>823+90</f>
        <v>913</v>
      </c>
      <c r="G32" s="11">
        <f t="shared" si="0"/>
        <v>83</v>
      </c>
    </row>
    <row r="33" spans="1:7" ht="15.75">
      <c r="A33" s="3">
        <f t="shared" si="2"/>
        <v>33</v>
      </c>
      <c r="B33" s="5" t="s">
        <v>17</v>
      </c>
      <c r="C33" s="25" t="s">
        <v>56</v>
      </c>
      <c r="D33" s="26"/>
      <c r="E33" s="26">
        <v>11</v>
      </c>
      <c r="F33" s="26">
        <f>839+74</f>
        <v>913</v>
      </c>
      <c r="G33" s="11">
        <f aca="true" t="shared" si="3" ref="G33:G64">F33/E33</f>
        <v>83</v>
      </c>
    </row>
    <row r="34" spans="1:7" ht="15.75">
      <c r="A34" s="3">
        <f t="shared" si="2"/>
        <v>34</v>
      </c>
      <c r="B34" s="5" t="s">
        <v>21</v>
      </c>
      <c r="C34" s="17" t="s">
        <v>94</v>
      </c>
      <c r="D34" s="16"/>
      <c r="E34" s="16">
        <v>11</v>
      </c>
      <c r="F34" s="16">
        <f>838+74</f>
        <v>912</v>
      </c>
      <c r="G34" s="11">
        <f t="shared" si="3"/>
        <v>82.9090909090909</v>
      </c>
    </row>
    <row r="35" spans="1:7" ht="15.75">
      <c r="A35" s="3">
        <f aca="true" t="shared" si="4" ref="A35:A50">A34+1</f>
        <v>35</v>
      </c>
      <c r="B35" s="5" t="s">
        <v>17</v>
      </c>
      <c r="C35" s="25" t="s">
        <v>104</v>
      </c>
      <c r="D35" s="26"/>
      <c r="E35" s="26">
        <v>11</v>
      </c>
      <c r="F35" s="26">
        <f>831+79</f>
        <v>910</v>
      </c>
      <c r="G35" s="11">
        <f t="shared" si="3"/>
        <v>82.72727272727273</v>
      </c>
    </row>
    <row r="36" spans="1:7" ht="15.75">
      <c r="A36" s="3">
        <f t="shared" si="4"/>
        <v>36</v>
      </c>
      <c r="B36" s="5" t="s">
        <v>36</v>
      </c>
      <c r="C36" s="17" t="s">
        <v>158</v>
      </c>
      <c r="D36" s="16"/>
      <c r="E36" s="16">
        <v>11</v>
      </c>
      <c r="F36" s="16">
        <f>822+88</f>
        <v>910</v>
      </c>
      <c r="G36" s="11">
        <f t="shared" si="3"/>
        <v>82.72727272727273</v>
      </c>
    </row>
    <row r="37" spans="1:7" ht="15.75">
      <c r="A37" s="3">
        <f t="shared" si="4"/>
        <v>37</v>
      </c>
      <c r="B37" s="5" t="s">
        <v>28</v>
      </c>
      <c r="C37" s="17" t="s">
        <v>79</v>
      </c>
      <c r="D37" s="16"/>
      <c r="E37" s="16">
        <v>11</v>
      </c>
      <c r="F37" s="16">
        <f>843+66</f>
        <v>909</v>
      </c>
      <c r="G37" s="11">
        <f t="shared" si="3"/>
        <v>82.63636363636364</v>
      </c>
    </row>
    <row r="38" spans="1:7" ht="16.5">
      <c r="A38" s="3">
        <f t="shared" si="4"/>
        <v>38</v>
      </c>
      <c r="B38" s="5" t="s">
        <v>38</v>
      </c>
      <c r="C38" s="20" t="s">
        <v>152</v>
      </c>
      <c r="D38" s="16"/>
      <c r="E38" s="16">
        <v>11</v>
      </c>
      <c r="F38" s="16">
        <f>812+97</f>
        <v>909</v>
      </c>
      <c r="G38" s="11">
        <f t="shared" si="3"/>
        <v>82.63636363636364</v>
      </c>
    </row>
    <row r="39" spans="1:7" ht="15.75">
      <c r="A39" s="3">
        <f t="shared" si="4"/>
        <v>39</v>
      </c>
      <c r="B39" s="5" t="s">
        <v>17</v>
      </c>
      <c r="C39" s="27" t="s">
        <v>55</v>
      </c>
      <c r="D39" s="26"/>
      <c r="E39" s="26">
        <v>11</v>
      </c>
      <c r="F39" s="26">
        <f>797+108</f>
        <v>905</v>
      </c>
      <c r="G39" s="11">
        <f t="shared" si="3"/>
        <v>82.27272727272727</v>
      </c>
    </row>
    <row r="40" spans="1:7" ht="15.75">
      <c r="A40" s="3">
        <f t="shared" si="4"/>
        <v>40</v>
      </c>
      <c r="B40" s="5" t="s">
        <v>24</v>
      </c>
      <c r="C40" s="17" t="s">
        <v>88</v>
      </c>
      <c r="D40" s="16"/>
      <c r="E40" s="16">
        <v>11</v>
      </c>
      <c r="F40" s="16">
        <f>830+73</f>
        <v>903</v>
      </c>
      <c r="G40" s="11">
        <f t="shared" si="3"/>
        <v>82.0909090909091</v>
      </c>
    </row>
    <row r="41" spans="1:7" ht="15.75">
      <c r="A41" s="3">
        <f t="shared" si="4"/>
        <v>41</v>
      </c>
      <c r="B41" s="5" t="s">
        <v>32</v>
      </c>
      <c r="C41" s="17" t="s">
        <v>72</v>
      </c>
      <c r="D41" s="16"/>
      <c r="E41" s="16">
        <v>11</v>
      </c>
      <c r="F41" s="16">
        <f>826+70</f>
        <v>896</v>
      </c>
      <c r="G41" s="11">
        <f t="shared" si="3"/>
        <v>81.45454545454545</v>
      </c>
    </row>
    <row r="42" spans="1:7" ht="15.75">
      <c r="A42" s="3">
        <f t="shared" si="4"/>
        <v>42</v>
      </c>
      <c r="B42" s="5" t="s">
        <v>50</v>
      </c>
      <c r="C42" s="17" t="s">
        <v>69</v>
      </c>
      <c r="D42" s="16"/>
      <c r="E42" s="16">
        <v>11</v>
      </c>
      <c r="F42" s="16">
        <f>806+90</f>
        <v>896</v>
      </c>
      <c r="G42" s="11">
        <f t="shared" si="3"/>
        <v>81.45454545454545</v>
      </c>
    </row>
    <row r="43" spans="1:7" ht="15.75">
      <c r="A43" s="3">
        <f t="shared" si="4"/>
        <v>43</v>
      </c>
      <c r="B43" s="5" t="s">
        <v>10</v>
      </c>
      <c r="C43" s="17" t="s">
        <v>110</v>
      </c>
      <c r="D43" s="16"/>
      <c r="E43" s="16">
        <v>11</v>
      </c>
      <c r="F43" s="16">
        <f>805+84</f>
        <v>889</v>
      </c>
      <c r="G43" s="11">
        <f t="shared" si="3"/>
        <v>80.81818181818181</v>
      </c>
    </row>
    <row r="44" spans="1:7" ht="15.75">
      <c r="A44" s="3">
        <f t="shared" si="4"/>
        <v>44</v>
      </c>
      <c r="B44" s="5" t="s">
        <v>40</v>
      </c>
      <c r="C44" s="17" t="s">
        <v>65</v>
      </c>
      <c r="D44" s="16"/>
      <c r="E44" s="16">
        <v>11</v>
      </c>
      <c r="F44" s="16">
        <f>815+73</f>
        <v>888</v>
      </c>
      <c r="G44" s="11">
        <f t="shared" si="3"/>
        <v>80.72727272727273</v>
      </c>
    </row>
    <row r="45" spans="1:7" ht="15.75">
      <c r="A45" s="3">
        <f t="shared" si="4"/>
        <v>45</v>
      </c>
      <c r="B45" s="5" t="s">
        <v>40</v>
      </c>
      <c r="C45" s="19" t="s">
        <v>137</v>
      </c>
      <c r="D45" s="16"/>
      <c r="E45" s="16">
        <v>11</v>
      </c>
      <c r="F45" s="16">
        <f>823+64</f>
        <v>887</v>
      </c>
      <c r="G45" s="11">
        <f t="shared" si="3"/>
        <v>80.63636363636364</v>
      </c>
    </row>
    <row r="46" spans="1:7" ht="15.75">
      <c r="A46" s="3">
        <f t="shared" si="4"/>
        <v>46</v>
      </c>
      <c r="B46" s="5" t="s">
        <v>49</v>
      </c>
      <c r="C46" s="17" t="s">
        <v>126</v>
      </c>
      <c r="D46" s="16"/>
      <c r="E46" s="16">
        <v>11</v>
      </c>
      <c r="F46" s="16">
        <f>810+75</f>
        <v>885</v>
      </c>
      <c r="G46" s="11">
        <f t="shared" si="3"/>
        <v>80.45454545454545</v>
      </c>
    </row>
    <row r="47" spans="1:7" ht="15.75">
      <c r="A47" s="3">
        <f t="shared" si="4"/>
        <v>47</v>
      </c>
      <c r="B47" s="5" t="s">
        <v>36</v>
      </c>
      <c r="C47" s="17" t="s">
        <v>156</v>
      </c>
      <c r="D47" s="16"/>
      <c r="E47" s="16">
        <v>11</v>
      </c>
      <c r="F47" s="16">
        <f>825+59</f>
        <v>884</v>
      </c>
      <c r="G47" s="11">
        <f t="shared" si="3"/>
        <v>80.36363636363636</v>
      </c>
    </row>
    <row r="48" spans="1:7" ht="15.75">
      <c r="A48" s="3">
        <f t="shared" si="4"/>
        <v>48</v>
      </c>
      <c r="B48" s="5" t="s">
        <v>28</v>
      </c>
      <c r="C48" s="17" t="s">
        <v>33</v>
      </c>
      <c r="D48" s="16"/>
      <c r="E48" s="16">
        <v>11</v>
      </c>
      <c r="F48" s="16">
        <f>805+76</f>
        <v>881</v>
      </c>
      <c r="G48" s="11">
        <f t="shared" si="3"/>
        <v>80.0909090909091</v>
      </c>
    </row>
    <row r="49" spans="1:7" ht="15.75">
      <c r="A49" s="3">
        <f t="shared" si="4"/>
        <v>49</v>
      </c>
      <c r="B49" s="5" t="s">
        <v>32</v>
      </c>
      <c r="C49" s="17" t="s">
        <v>74</v>
      </c>
      <c r="D49" s="16"/>
      <c r="E49" s="16">
        <v>11</v>
      </c>
      <c r="F49" s="16">
        <f>805+76</f>
        <v>881</v>
      </c>
      <c r="G49" s="11">
        <f t="shared" si="3"/>
        <v>80.0909090909091</v>
      </c>
    </row>
    <row r="50" spans="1:7" ht="15.75">
      <c r="A50" s="3">
        <f t="shared" si="4"/>
        <v>50</v>
      </c>
      <c r="B50" s="5" t="s">
        <v>36</v>
      </c>
      <c r="C50" s="17" t="s">
        <v>67</v>
      </c>
      <c r="D50" s="16"/>
      <c r="E50" s="16">
        <v>11</v>
      </c>
      <c r="F50" s="16">
        <f>798+83</f>
        <v>881</v>
      </c>
      <c r="G50" s="11">
        <f t="shared" si="3"/>
        <v>80.0909090909091</v>
      </c>
    </row>
    <row r="51" spans="1:7" ht="16.5">
      <c r="A51" s="3">
        <f aca="true" t="shared" si="5" ref="A51:A66">A50+1</f>
        <v>51</v>
      </c>
      <c r="B51" s="5" t="s">
        <v>38</v>
      </c>
      <c r="C51" s="20" t="s">
        <v>155</v>
      </c>
      <c r="D51" s="16"/>
      <c r="E51" s="16">
        <v>11</v>
      </c>
      <c r="F51" s="16">
        <v>880</v>
      </c>
      <c r="G51" s="11">
        <f t="shared" si="3"/>
        <v>80</v>
      </c>
    </row>
    <row r="52" spans="1:7" ht="15.75">
      <c r="A52" s="3">
        <f t="shared" si="5"/>
        <v>52</v>
      </c>
      <c r="B52" s="5" t="s">
        <v>44</v>
      </c>
      <c r="C52" s="17" t="s">
        <v>131</v>
      </c>
      <c r="D52" s="16"/>
      <c r="E52" s="16">
        <v>11</v>
      </c>
      <c r="F52" s="16">
        <f>805+74</f>
        <v>879</v>
      </c>
      <c r="G52" s="11">
        <f t="shared" si="3"/>
        <v>79.9090909090909</v>
      </c>
    </row>
    <row r="53" spans="1:7" ht="15.75">
      <c r="A53" s="3">
        <f t="shared" si="5"/>
        <v>53</v>
      </c>
      <c r="B53" s="5" t="s">
        <v>28</v>
      </c>
      <c r="C53" s="17" t="s">
        <v>82</v>
      </c>
      <c r="D53" s="16"/>
      <c r="E53" s="16">
        <v>11</v>
      </c>
      <c r="F53" s="16">
        <f>796+82</f>
        <v>878</v>
      </c>
      <c r="G53" s="11">
        <f t="shared" si="3"/>
        <v>79.81818181818181</v>
      </c>
    </row>
    <row r="54" spans="1:7" ht="15.75">
      <c r="A54" s="3">
        <f t="shared" si="5"/>
        <v>54</v>
      </c>
      <c r="B54" s="5" t="s">
        <v>38</v>
      </c>
      <c r="C54" s="17" t="s">
        <v>146</v>
      </c>
      <c r="D54" s="16"/>
      <c r="E54" s="16">
        <v>11</v>
      </c>
      <c r="F54" s="16">
        <f>820+58</f>
        <v>878</v>
      </c>
      <c r="G54" s="11">
        <f t="shared" si="3"/>
        <v>79.81818181818181</v>
      </c>
    </row>
    <row r="55" spans="1:7" ht="15.75">
      <c r="A55" s="3">
        <f t="shared" si="5"/>
        <v>55</v>
      </c>
      <c r="B55" s="5" t="s">
        <v>38</v>
      </c>
      <c r="C55" s="17" t="s">
        <v>150</v>
      </c>
      <c r="D55" s="16"/>
      <c r="E55" s="16">
        <v>11</v>
      </c>
      <c r="F55" s="16">
        <f>793+84</f>
        <v>877</v>
      </c>
      <c r="G55" s="11">
        <f t="shared" si="3"/>
        <v>79.72727272727273</v>
      </c>
    </row>
    <row r="56" spans="1:7" ht="15.75">
      <c r="A56" s="3">
        <f t="shared" si="5"/>
        <v>56</v>
      </c>
      <c r="B56" s="5" t="s">
        <v>44</v>
      </c>
      <c r="C56" s="17" t="s">
        <v>42</v>
      </c>
      <c r="D56" s="16"/>
      <c r="E56" s="16">
        <v>11</v>
      </c>
      <c r="F56" s="16">
        <f>793+83</f>
        <v>876</v>
      </c>
      <c r="G56" s="11">
        <f t="shared" si="3"/>
        <v>79.63636363636364</v>
      </c>
    </row>
    <row r="57" spans="1:7" ht="15.75">
      <c r="A57" s="3">
        <f t="shared" si="5"/>
        <v>57</v>
      </c>
      <c r="B57" s="5" t="s">
        <v>49</v>
      </c>
      <c r="C57" s="17" t="s">
        <v>125</v>
      </c>
      <c r="D57" s="16"/>
      <c r="E57" s="16">
        <v>11</v>
      </c>
      <c r="F57" s="16">
        <f>795+78</f>
        <v>873</v>
      </c>
      <c r="G57" s="11">
        <f t="shared" si="3"/>
        <v>79.36363636363636</v>
      </c>
    </row>
    <row r="58" spans="1:7" ht="15.75">
      <c r="A58" s="3">
        <f t="shared" si="5"/>
        <v>58</v>
      </c>
      <c r="B58" s="5" t="s">
        <v>28</v>
      </c>
      <c r="C58" s="17" t="s">
        <v>23</v>
      </c>
      <c r="D58" s="16"/>
      <c r="E58" s="16">
        <v>11</v>
      </c>
      <c r="F58" s="16">
        <f>803+68</f>
        <v>871</v>
      </c>
      <c r="G58" s="11">
        <f t="shared" si="3"/>
        <v>79.18181818181819</v>
      </c>
    </row>
    <row r="59" spans="1:7" ht="15.75">
      <c r="A59" s="3">
        <f t="shared" si="5"/>
        <v>59</v>
      </c>
      <c r="B59" s="5" t="s">
        <v>50</v>
      </c>
      <c r="C59" s="19" t="s">
        <v>115</v>
      </c>
      <c r="D59" s="16"/>
      <c r="E59" s="16">
        <v>11</v>
      </c>
      <c r="F59" s="16">
        <f>799+72</f>
        <v>871</v>
      </c>
      <c r="G59" s="11">
        <f t="shared" si="3"/>
        <v>79.18181818181819</v>
      </c>
    </row>
    <row r="60" spans="1:7" ht="15.75">
      <c r="A60" s="3">
        <f t="shared" si="5"/>
        <v>60</v>
      </c>
      <c r="B60" s="5" t="s">
        <v>24</v>
      </c>
      <c r="C60" s="19" t="s">
        <v>30</v>
      </c>
      <c r="D60" s="16"/>
      <c r="E60" s="16">
        <v>11</v>
      </c>
      <c r="F60" s="16">
        <f>795+74</f>
        <v>869</v>
      </c>
      <c r="G60" s="11">
        <f t="shared" si="3"/>
        <v>79</v>
      </c>
    </row>
    <row r="61" spans="1:7" ht="15.75">
      <c r="A61" s="3">
        <f t="shared" si="5"/>
        <v>61</v>
      </c>
      <c r="B61" s="5" t="s">
        <v>17</v>
      </c>
      <c r="C61" s="25" t="s">
        <v>105</v>
      </c>
      <c r="D61" s="26"/>
      <c r="E61" s="26">
        <v>11</v>
      </c>
      <c r="F61" s="26">
        <f>772+95</f>
        <v>867</v>
      </c>
      <c r="G61" s="11">
        <f t="shared" si="3"/>
        <v>78.81818181818181</v>
      </c>
    </row>
    <row r="62" spans="1:7" ht="15.75">
      <c r="A62" s="3">
        <f t="shared" si="5"/>
        <v>62</v>
      </c>
      <c r="B62" s="5" t="s">
        <v>17</v>
      </c>
      <c r="C62" s="25" t="s">
        <v>106</v>
      </c>
      <c r="D62" s="26"/>
      <c r="E62" s="26">
        <v>11</v>
      </c>
      <c r="F62" s="26">
        <f>811+56</f>
        <v>867</v>
      </c>
      <c r="G62" s="11">
        <f t="shared" si="3"/>
        <v>78.81818181818181</v>
      </c>
    </row>
    <row r="63" spans="1:7" ht="15.75">
      <c r="A63" s="3">
        <f t="shared" si="5"/>
        <v>63</v>
      </c>
      <c r="B63" s="5" t="s">
        <v>32</v>
      </c>
      <c r="C63" s="17" t="s">
        <v>75</v>
      </c>
      <c r="D63" s="16"/>
      <c r="E63" s="16">
        <v>11</v>
      </c>
      <c r="F63" s="16">
        <f>793+74</f>
        <v>867</v>
      </c>
      <c r="G63" s="11">
        <f t="shared" si="3"/>
        <v>78.81818181818181</v>
      </c>
    </row>
    <row r="64" spans="1:7" ht="15.75">
      <c r="A64" s="3">
        <f t="shared" si="5"/>
        <v>64</v>
      </c>
      <c r="B64" s="5" t="s">
        <v>36</v>
      </c>
      <c r="C64" s="17" t="s">
        <v>29</v>
      </c>
      <c r="D64" s="16"/>
      <c r="E64" s="16">
        <v>11</v>
      </c>
      <c r="F64" s="16">
        <f>786+80</f>
        <v>866</v>
      </c>
      <c r="G64" s="11">
        <f t="shared" si="3"/>
        <v>78.72727272727273</v>
      </c>
    </row>
    <row r="65" spans="1:7" ht="15.75">
      <c r="A65" s="3">
        <f t="shared" si="5"/>
        <v>65</v>
      </c>
      <c r="B65" s="5" t="s">
        <v>21</v>
      </c>
      <c r="C65" s="17" t="s">
        <v>96</v>
      </c>
      <c r="D65" s="16"/>
      <c r="E65" s="16">
        <v>11</v>
      </c>
      <c r="F65" s="16">
        <f>758+106</f>
        <v>864</v>
      </c>
      <c r="G65" s="11">
        <f aca="true" t="shared" si="6" ref="G65:G96">F65/E65</f>
        <v>78.54545454545455</v>
      </c>
    </row>
    <row r="66" spans="1:7" ht="15.75">
      <c r="A66" s="3">
        <f t="shared" si="5"/>
        <v>66</v>
      </c>
      <c r="B66" s="5" t="s">
        <v>24</v>
      </c>
      <c r="C66" s="17" t="s">
        <v>59</v>
      </c>
      <c r="D66" s="16"/>
      <c r="E66" s="16">
        <v>11</v>
      </c>
      <c r="F66" s="16">
        <f>768+93</f>
        <v>861</v>
      </c>
      <c r="G66" s="11">
        <f t="shared" si="6"/>
        <v>78.27272727272727</v>
      </c>
    </row>
    <row r="67" spans="1:7" ht="15.75">
      <c r="A67" s="3">
        <f aca="true" t="shared" si="7" ref="A67:A82">A66+1</f>
        <v>67</v>
      </c>
      <c r="B67" s="5" t="s">
        <v>50</v>
      </c>
      <c r="C67" s="17" t="s">
        <v>120</v>
      </c>
      <c r="D67" s="16"/>
      <c r="E67" s="16">
        <v>11</v>
      </c>
      <c r="F67" s="16">
        <f>801+60</f>
        <v>861</v>
      </c>
      <c r="G67" s="11">
        <f t="shared" si="6"/>
        <v>78.27272727272727</v>
      </c>
    </row>
    <row r="68" spans="1:7" ht="15.75">
      <c r="A68" s="3">
        <f t="shared" si="7"/>
        <v>68</v>
      </c>
      <c r="B68" s="5" t="s">
        <v>24</v>
      </c>
      <c r="C68" s="17" t="s">
        <v>86</v>
      </c>
      <c r="D68" s="16"/>
      <c r="E68" s="16">
        <v>11</v>
      </c>
      <c r="F68" s="16">
        <f>753+107</f>
        <v>860</v>
      </c>
      <c r="G68" s="11">
        <f t="shared" si="6"/>
        <v>78.18181818181819</v>
      </c>
    </row>
    <row r="69" spans="1:7" ht="15.75">
      <c r="A69" s="3">
        <f t="shared" si="7"/>
        <v>69</v>
      </c>
      <c r="B69" s="5" t="s">
        <v>38</v>
      </c>
      <c r="C69" s="17" t="s">
        <v>151</v>
      </c>
      <c r="D69" s="16"/>
      <c r="E69" s="16">
        <v>11</v>
      </c>
      <c r="F69" s="16">
        <f>779+81</f>
        <v>860</v>
      </c>
      <c r="G69" s="11">
        <f t="shared" si="6"/>
        <v>78.18181818181819</v>
      </c>
    </row>
    <row r="70" spans="1:7" ht="15.75">
      <c r="A70" s="3">
        <f t="shared" si="7"/>
        <v>70</v>
      </c>
      <c r="B70" s="5" t="s">
        <v>50</v>
      </c>
      <c r="C70" s="17" t="s">
        <v>118</v>
      </c>
      <c r="D70" s="16"/>
      <c r="E70" s="16">
        <v>11</v>
      </c>
      <c r="F70" s="16">
        <f>746+113</f>
        <v>859</v>
      </c>
      <c r="G70" s="11">
        <f t="shared" si="6"/>
        <v>78.0909090909091</v>
      </c>
    </row>
    <row r="71" spans="1:7" ht="15.75">
      <c r="A71" s="3">
        <f t="shared" si="7"/>
        <v>71</v>
      </c>
      <c r="B71" s="5" t="s">
        <v>17</v>
      </c>
      <c r="C71" s="25" t="s">
        <v>103</v>
      </c>
      <c r="D71" s="26"/>
      <c r="E71" s="26">
        <v>11</v>
      </c>
      <c r="F71" s="26">
        <f>773+85</f>
        <v>858</v>
      </c>
      <c r="G71" s="11">
        <f t="shared" si="6"/>
        <v>78</v>
      </c>
    </row>
    <row r="72" spans="1:7" ht="16.5" thickBot="1">
      <c r="A72" s="3">
        <f t="shared" si="7"/>
        <v>72</v>
      </c>
      <c r="B72" s="5" t="s">
        <v>24</v>
      </c>
      <c r="C72" s="17" t="s">
        <v>85</v>
      </c>
      <c r="D72" s="16"/>
      <c r="E72" s="16">
        <v>11</v>
      </c>
      <c r="F72" s="16">
        <f>792+64</f>
        <v>856</v>
      </c>
      <c r="G72" s="11">
        <f t="shared" si="6"/>
        <v>77.81818181818181</v>
      </c>
    </row>
    <row r="73" spans="1:7" ht="15.75">
      <c r="A73" s="13">
        <f t="shared" si="7"/>
        <v>73</v>
      </c>
      <c r="B73" s="5" t="s">
        <v>40</v>
      </c>
      <c r="C73" s="17" t="s">
        <v>37</v>
      </c>
      <c r="D73" s="16"/>
      <c r="E73" s="16">
        <v>11</v>
      </c>
      <c r="F73" s="16">
        <f>778+77</f>
        <v>855</v>
      </c>
      <c r="G73" s="11">
        <f t="shared" si="6"/>
        <v>77.72727272727273</v>
      </c>
    </row>
    <row r="74" spans="1:7" ht="15.75">
      <c r="A74" s="3">
        <f t="shared" si="7"/>
        <v>74</v>
      </c>
      <c r="B74" s="5" t="s">
        <v>44</v>
      </c>
      <c r="C74" s="17" t="s">
        <v>133</v>
      </c>
      <c r="D74" s="16"/>
      <c r="E74" s="16">
        <v>11</v>
      </c>
      <c r="F74" s="16">
        <f>781+73</f>
        <v>854</v>
      </c>
      <c r="G74" s="11">
        <f t="shared" si="6"/>
        <v>77.63636363636364</v>
      </c>
    </row>
    <row r="75" spans="1:7" ht="15.75">
      <c r="A75" s="3">
        <f t="shared" si="7"/>
        <v>75</v>
      </c>
      <c r="B75" s="5" t="s">
        <v>40</v>
      </c>
      <c r="C75" s="17" t="s">
        <v>43</v>
      </c>
      <c r="D75" s="16"/>
      <c r="E75" s="16">
        <v>11</v>
      </c>
      <c r="F75" s="16">
        <f>776+77</f>
        <v>853</v>
      </c>
      <c r="G75" s="11">
        <f t="shared" si="6"/>
        <v>77.54545454545455</v>
      </c>
    </row>
    <row r="76" spans="1:7" ht="15.75">
      <c r="A76" s="3">
        <f t="shared" si="7"/>
        <v>76</v>
      </c>
      <c r="B76" s="5" t="s">
        <v>21</v>
      </c>
      <c r="C76" s="17" t="s">
        <v>99</v>
      </c>
      <c r="D76" s="16"/>
      <c r="E76" s="16">
        <v>11</v>
      </c>
      <c r="F76" s="16">
        <f>771+80</f>
        <v>851</v>
      </c>
      <c r="G76" s="11">
        <f t="shared" si="6"/>
        <v>77.36363636363636</v>
      </c>
    </row>
    <row r="77" spans="1:7" ht="15.75">
      <c r="A77" s="3">
        <f t="shared" si="7"/>
        <v>77</v>
      </c>
      <c r="B77" s="5" t="s">
        <v>24</v>
      </c>
      <c r="C77" s="17" t="s">
        <v>92</v>
      </c>
      <c r="D77" s="16"/>
      <c r="E77" s="16">
        <v>11</v>
      </c>
      <c r="F77" s="16">
        <f>781+70</f>
        <v>851</v>
      </c>
      <c r="G77" s="11">
        <f t="shared" si="6"/>
        <v>77.36363636363636</v>
      </c>
    </row>
    <row r="78" spans="1:7" ht="15.75">
      <c r="A78" s="3">
        <f t="shared" si="7"/>
        <v>78</v>
      </c>
      <c r="B78" s="5" t="s">
        <v>28</v>
      </c>
      <c r="C78" s="19" t="s">
        <v>58</v>
      </c>
      <c r="D78" s="16"/>
      <c r="E78" s="16">
        <v>11</v>
      </c>
      <c r="F78" s="16">
        <f>747+101</f>
        <v>848</v>
      </c>
      <c r="G78" s="11">
        <f t="shared" si="6"/>
        <v>77.0909090909091</v>
      </c>
    </row>
    <row r="79" spans="1:7" ht="15.75">
      <c r="A79" s="3">
        <f t="shared" si="7"/>
        <v>79</v>
      </c>
      <c r="B79" s="5" t="s">
        <v>40</v>
      </c>
      <c r="C79" s="17" t="s">
        <v>138</v>
      </c>
      <c r="D79" s="16"/>
      <c r="E79" s="16">
        <v>11</v>
      </c>
      <c r="F79" s="16">
        <f>778+70</f>
        <v>848</v>
      </c>
      <c r="G79" s="11">
        <f t="shared" si="6"/>
        <v>77.0909090909091</v>
      </c>
    </row>
    <row r="80" spans="1:7" ht="15.75">
      <c r="A80" s="3">
        <f t="shared" si="7"/>
        <v>80</v>
      </c>
      <c r="B80" s="5" t="s">
        <v>49</v>
      </c>
      <c r="C80" s="17" t="s">
        <v>124</v>
      </c>
      <c r="D80" s="16"/>
      <c r="E80" s="16">
        <v>11</v>
      </c>
      <c r="F80" s="16">
        <f>786+62</f>
        <v>848</v>
      </c>
      <c r="G80" s="11">
        <f t="shared" si="6"/>
        <v>77.0909090909091</v>
      </c>
    </row>
    <row r="81" spans="1:7" ht="15.75">
      <c r="A81" s="3">
        <f t="shared" si="7"/>
        <v>81</v>
      </c>
      <c r="B81" s="5" t="s">
        <v>17</v>
      </c>
      <c r="C81" s="25" t="s">
        <v>102</v>
      </c>
      <c r="D81" s="26"/>
      <c r="E81" s="26">
        <v>11</v>
      </c>
      <c r="F81" s="26">
        <f>773+74</f>
        <v>847</v>
      </c>
      <c r="G81" s="11">
        <f t="shared" si="6"/>
        <v>77</v>
      </c>
    </row>
    <row r="82" spans="1:7" ht="15.75">
      <c r="A82" s="3">
        <f t="shared" si="7"/>
        <v>82</v>
      </c>
      <c r="B82" s="5" t="s">
        <v>10</v>
      </c>
      <c r="C82" s="17" t="s">
        <v>109</v>
      </c>
      <c r="D82" s="16"/>
      <c r="E82" s="16">
        <v>11</v>
      </c>
      <c r="F82" s="16">
        <f>758+87</f>
        <v>845</v>
      </c>
      <c r="G82" s="11">
        <f t="shared" si="6"/>
        <v>76.81818181818181</v>
      </c>
    </row>
    <row r="83" spans="1:7" ht="15.75">
      <c r="A83" s="3">
        <f aca="true" t="shared" si="8" ref="A83:A98">A82+1</f>
        <v>83</v>
      </c>
      <c r="B83" s="5" t="s">
        <v>17</v>
      </c>
      <c r="C83" s="25" t="s">
        <v>18</v>
      </c>
      <c r="D83" s="26"/>
      <c r="E83" s="26">
        <v>11</v>
      </c>
      <c r="F83" s="26">
        <f>773+72</f>
        <v>845</v>
      </c>
      <c r="G83" s="11">
        <f t="shared" si="6"/>
        <v>76.81818181818181</v>
      </c>
    </row>
    <row r="84" spans="1:7" ht="15.75">
      <c r="A84" s="3">
        <f t="shared" si="8"/>
        <v>84</v>
      </c>
      <c r="B84" s="5" t="s">
        <v>38</v>
      </c>
      <c r="C84" s="17" t="s">
        <v>39</v>
      </c>
      <c r="D84" s="16"/>
      <c r="E84" s="16">
        <v>11</v>
      </c>
      <c r="F84" s="16">
        <f>742+96</f>
        <v>838</v>
      </c>
      <c r="G84" s="11">
        <f t="shared" si="6"/>
        <v>76.18181818181819</v>
      </c>
    </row>
    <row r="85" spans="1:7" ht="15.75">
      <c r="A85" s="3">
        <f t="shared" si="8"/>
        <v>85</v>
      </c>
      <c r="B85" s="5" t="s">
        <v>38</v>
      </c>
      <c r="C85" s="17" t="s">
        <v>153</v>
      </c>
      <c r="D85" s="16"/>
      <c r="E85" s="16">
        <v>11</v>
      </c>
      <c r="F85" s="16">
        <f>774+64</f>
        <v>838</v>
      </c>
      <c r="G85" s="11">
        <f t="shared" si="6"/>
        <v>76.18181818181819</v>
      </c>
    </row>
    <row r="86" spans="1:7" ht="16.5">
      <c r="A86" s="3">
        <f t="shared" si="8"/>
        <v>86</v>
      </c>
      <c r="B86" s="5" t="s">
        <v>49</v>
      </c>
      <c r="C86" s="20" t="s">
        <v>166</v>
      </c>
      <c r="D86" s="16"/>
      <c r="E86" s="16">
        <v>11</v>
      </c>
      <c r="F86" s="16">
        <f>758+79</f>
        <v>837</v>
      </c>
      <c r="G86" s="11">
        <f t="shared" si="6"/>
        <v>76.0909090909091</v>
      </c>
    </row>
    <row r="87" spans="1:7" ht="15.75">
      <c r="A87" s="3">
        <f t="shared" si="8"/>
        <v>87</v>
      </c>
      <c r="B87" s="5" t="s">
        <v>49</v>
      </c>
      <c r="C87" s="17" t="s">
        <v>47</v>
      </c>
      <c r="D87" s="16"/>
      <c r="E87" s="16">
        <v>11</v>
      </c>
      <c r="F87" s="16">
        <f>757+79</f>
        <v>836</v>
      </c>
      <c r="G87" s="11">
        <f t="shared" si="6"/>
        <v>76</v>
      </c>
    </row>
    <row r="88" spans="1:7" ht="15.75">
      <c r="A88" s="3">
        <f t="shared" si="8"/>
        <v>88</v>
      </c>
      <c r="B88" s="5" t="s">
        <v>32</v>
      </c>
      <c r="C88" s="17" t="s">
        <v>60</v>
      </c>
      <c r="D88" s="16"/>
      <c r="E88" s="16">
        <v>11</v>
      </c>
      <c r="F88" s="16">
        <f>761+73</f>
        <v>834</v>
      </c>
      <c r="G88" s="11">
        <f t="shared" si="6"/>
        <v>75.81818181818181</v>
      </c>
    </row>
    <row r="89" spans="1:7" ht="15.75">
      <c r="A89" s="3">
        <f t="shared" si="8"/>
        <v>89</v>
      </c>
      <c r="B89" s="5" t="s">
        <v>10</v>
      </c>
      <c r="C89" s="17" t="s">
        <v>111</v>
      </c>
      <c r="D89" s="16"/>
      <c r="E89" s="16">
        <v>11</v>
      </c>
      <c r="F89" s="16">
        <f>757+76</f>
        <v>833</v>
      </c>
      <c r="G89" s="11">
        <f t="shared" si="6"/>
        <v>75.72727272727273</v>
      </c>
    </row>
    <row r="90" spans="1:7" ht="16.5">
      <c r="A90" s="3">
        <f t="shared" si="8"/>
        <v>90</v>
      </c>
      <c r="B90" s="5" t="s">
        <v>40</v>
      </c>
      <c r="C90" s="20" t="s">
        <v>142</v>
      </c>
      <c r="D90" s="16"/>
      <c r="E90" s="16">
        <v>11</v>
      </c>
      <c r="F90" s="16">
        <f>751+77</f>
        <v>828</v>
      </c>
      <c r="G90" s="11">
        <f t="shared" si="6"/>
        <v>75.27272727272727</v>
      </c>
    </row>
    <row r="91" spans="1:7" ht="15.75">
      <c r="A91" s="3">
        <f t="shared" si="8"/>
        <v>91</v>
      </c>
      <c r="B91" s="5" t="s">
        <v>28</v>
      </c>
      <c r="C91" s="17" t="s">
        <v>22</v>
      </c>
      <c r="D91" s="16"/>
      <c r="E91" s="16">
        <v>11</v>
      </c>
      <c r="F91" s="16">
        <f>762+63</f>
        <v>825</v>
      </c>
      <c r="G91" s="11">
        <f t="shared" si="6"/>
        <v>75</v>
      </c>
    </row>
    <row r="92" spans="1:7" ht="15.75">
      <c r="A92" s="3">
        <f t="shared" si="8"/>
        <v>92</v>
      </c>
      <c r="B92" s="5" t="s">
        <v>32</v>
      </c>
      <c r="C92" s="17" t="s">
        <v>73</v>
      </c>
      <c r="D92" s="16"/>
      <c r="E92" s="16">
        <v>11</v>
      </c>
      <c r="F92" s="16">
        <f>766+59</f>
        <v>825</v>
      </c>
      <c r="G92" s="11">
        <f t="shared" si="6"/>
        <v>75</v>
      </c>
    </row>
    <row r="93" spans="1:7" ht="15.75">
      <c r="A93" s="3">
        <f t="shared" si="8"/>
        <v>93</v>
      </c>
      <c r="B93" s="5" t="s">
        <v>40</v>
      </c>
      <c r="C93" s="17" t="s">
        <v>143</v>
      </c>
      <c r="D93" s="16"/>
      <c r="E93" s="16">
        <v>11</v>
      </c>
      <c r="F93" s="16">
        <f>732+92</f>
        <v>824</v>
      </c>
      <c r="G93" s="11">
        <f t="shared" si="6"/>
        <v>74.9090909090909</v>
      </c>
    </row>
    <row r="94" spans="1:7" ht="16.5">
      <c r="A94" s="3">
        <f t="shared" si="8"/>
        <v>94</v>
      </c>
      <c r="B94" s="5" t="s">
        <v>49</v>
      </c>
      <c r="C94" s="21" t="s">
        <v>127</v>
      </c>
      <c r="D94" s="16"/>
      <c r="E94" s="16">
        <v>11</v>
      </c>
      <c r="F94" s="16">
        <f>753+71</f>
        <v>824</v>
      </c>
      <c r="G94" s="11">
        <f t="shared" si="6"/>
        <v>74.9090909090909</v>
      </c>
    </row>
    <row r="95" spans="1:7" ht="15.75">
      <c r="A95" s="3">
        <f t="shared" si="8"/>
        <v>95</v>
      </c>
      <c r="B95" s="5" t="s">
        <v>40</v>
      </c>
      <c r="C95" s="17" t="s">
        <v>140</v>
      </c>
      <c r="D95" s="16"/>
      <c r="E95" s="16">
        <v>11</v>
      </c>
      <c r="F95" s="16">
        <v>823</v>
      </c>
      <c r="G95" s="11">
        <f t="shared" si="6"/>
        <v>74.81818181818181</v>
      </c>
    </row>
    <row r="96" spans="1:7" ht="16.5">
      <c r="A96" s="3">
        <f t="shared" si="8"/>
        <v>96</v>
      </c>
      <c r="B96" s="5" t="s">
        <v>10</v>
      </c>
      <c r="C96" s="20" t="s">
        <v>112</v>
      </c>
      <c r="D96" s="16"/>
      <c r="E96" s="16">
        <v>11</v>
      </c>
      <c r="F96" s="16">
        <f>766+54</f>
        <v>820</v>
      </c>
      <c r="G96" s="11">
        <f t="shared" si="6"/>
        <v>74.54545454545455</v>
      </c>
    </row>
    <row r="97" spans="1:7" ht="16.5">
      <c r="A97" s="3">
        <f t="shared" si="8"/>
        <v>97</v>
      </c>
      <c r="B97" s="5" t="s">
        <v>32</v>
      </c>
      <c r="C97" s="20" t="s">
        <v>76</v>
      </c>
      <c r="D97" s="16"/>
      <c r="E97" s="16">
        <v>11</v>
      </c>
      <c r="F97" s="16">
        <f>756+64</f>
        <v>820</v>
      </c>
      <c r="G97" s="11">
        <f aca="true" t="shared" si="9" ref="G97:G128">F97/E97</f>
        <v>74.54545454545455</v>
      </c>
    </row>
    <row r="98" spans="1:7" ht="15.75">
      <c r="A98" s="3">
        <f t="shared" si="8"/>
        <v>98</v>
      </c>
      <c r="B98" s="5" t="s">
        <v>50</v>
      </c>
      <c r="C98" s="17" t="s">
        <v>116</v>
      </c>
      <c r="D98" s="16"/>
      <c r="E98" s="16">
        <v>11</v>
      </c>
      <c r="F98" s="16">
        <f>752+68</f>
        <v>820</v>
      </c>
      <c r="G98" s="11">
        <f t="shared" si="9"/>
        <v>74.54545454545455</v>
      </c>
    </row>
    <row r="99" spans="1:7" ht="15.75">
      <c r="A99" s="3">
        <f aca="true" t="shared" si="10" ref="A99:A114">A98+1</f>
        <v>99</v>
      </c>
      <c r="B99" s="5" t="s">
        <v>38</v>
      </c>
      <c r="C99" s="17" t="s">
        <v>147</v>
      </c>
      <c r="D99" s="16"/>
      <c r="E99" s="16">
        <v>11</v>
      </c>
      <c r="F99" s="16">
        <f>760+59</f>
        <v>819</v>
      </c>
      <c r="G99" s="11">
        <f t="shared" si="9"/>
        <v>74.45454545454545</v>
      </c>
    </row>
    <row r="100" spans="1:7" ht="16.5">
      <c r="A100" s="3">
        <f t="shared" si="10"/>
        <v>100</v>
      </c>
      <c r="B100" s="5" t="s">
        <v>10</v>
      </c>
      <c r="C100" s="20" t="s">
        <v>14</v>
      </c>
      <c r="D100" s="16"/>
      <c r="E100" s="16">
        <v>11</v>
      </c>
      <c r="F100" s="16">
        <f>734+83</f>
        <v>817</v>
      </c>
      <c r="G100" s="11">
        <f t="shared" si="9"/>
        <v>74.27272727272727</v>
      </c>
    </row>
    <row r="101" spans="1:7" ht="15.75">
      <c r="A101" s="3">
        <f t="shared" si="10"/>
        <v>101</v>
      </c>
      <c r="B101" s="5" t="s">
        <v>24</v>
      </c>
      <c r="C101" s="17" t="s">
        <v>87</v>
      </c>
      <c r="D101" s="16"/>
      <c r="E101" s="16">
        <v>11</v>
      </c>
      <c r="F101" s="16">
        <f>746+69</f>
        <v>815</v>
      </c>
      <c r="G101" s="11">
        <f t="shared" si="9"/>
        <v>74.0909090909091</v>
      </c>
    </row>
    <row r="102" spans="1:7" ht="16.5">
      <c r="A102" s="3">
        <f t="shared" si="10"/>
        <v>102</v>
      </c>
      <c r="B102" s="5" t="s">
        <v>32</v>
      </c>
      <c r="C102" s="20" t="s">
        <v>78</v>
      </c>
      <c r="D102" s="16"/>
      <c r="E102" s="16">
        <v>11</v>
      </c>
      <c r="F102" s="16">
        <f>742+73</f>
        <v>815</v>
      </c>
      <c r="G102" s="11">
        <f t="shared" si="9"/>
        <v>74.0909090909091</v>
      </c>
    </row>
    <row r="103" spans="1:7" ht="16.5">
      <c r="A103" s="3">
        <f t="shared" si="10"/>
        <v>103</v>
      </c>
      <c r="B103" s="5" t="s">
        <v>38</v>
      </c>
      <c r="C103" s="21" t="s">
        <v>154</v>
      </c>
      <c r="D103" s="16"/>
      <c r="E103" s="16">
        <v>11</v>
      </c>
      <c r="F103" s="16">
        <f>727+88</f>
        <v>815</v>
      </c>
      <c r="G103" s="11">
        <f t="shared" si="9"/>
        <v>74.0909090909091</v>
      </c>
    </row>
    <row r="104" spans="1:7" ht="15.75">
      <c r="A104" s="3">
        <f t="shared" si="10"/>
        <v>104</v>
      </c>
      <c r="B104" s="5" t="s">
        <v>50</v>
      </c>
      <c r="C104" s="17" t="s">
        <v>48</v>
      </c>
      <c r="D104" s="16"/>
      <c r="E104" s="16">
        <v>11</v>
      </c>
      <c r="F104" s="16">
        <f>743+71</f>
        <v>814</v>
      </c>
      <c r="G104" s="11">
        <f t="shared" si="9"/>
        <v>74</v>
      </c>
    </row>
    <row r="105" spans="1:7" ht="15.75">
      <c r="A105" s="3">
        <f t="shared" si="10"/>
        <v>105</v>
      </c>
      <c r="B105" s="5" t="s">
        <v>36</v>
      </c>
      <c r="C105" s="17" t="s">
        <v>162</v>
      </c>
      <c r="D105" s="16"/>
      <c r="E105" s="16">
        <v>11</v>
      </c>
      <c r="F105" s="16">
        <f>747+61</f>
        <v>808</v>
      </c>
      <c r="G105" s="11">
        <f t="shared" si="9"/>
        <v>73.45454545454545</v>
      </c>
    </row>
    <row r="106" spans="1:7" ht="15.75">
      <c r="A106" s="3">
        <f t="shared" si="10"/>
        <v>106</v>
      </c>
      <c r="B106" s="5" t="s">
        <v>28</v>
      </c>
      <c r="C106" s="17" t="s">
        <v>35</v>
      </c>
      <c r="D106" s="16"/>
      <c r="E106" s="16">
        <v>11</v>
      </c>
      <c r="F106" s="16">
        <f>747+60</f>
        <v>807</v>
      </c>
      <c r="G106" s="11">
        <f t="shared" si="9"/>
        <v>73.36363636363636</v>
      </c>
    </row>
    <row r="107" spans="1:7" ht="16.5">
      <c r="A107" s="3">
        <f t="shared" si="10"/>
        <v>107</v>
      </c>
      <c r="B107" s="5" t="s">
        <v>44</v>
      </c>
      <c r="C107" s="21" t="s">
        <v>134</v>
      </c>
      <c r="D107" s="16"/>
      <c r="E107" s="16">
        <v>11</v>
      </c>
      <c r="F107" s="16">
        <f>733+72</f>
        <v>805</v>
      </c>
      <c r="G107" s="11">
        <f t="shared" si="9"/>
        <v>73.18181818181819</v>
      </c>
    </row>
    <row r="108" spans="1:7" ht="16.5">
      <c r="A108" s="3">
        <f t="shared" si="10"/>
        <v>108</v>
      </c>
      <c r="B108" s="5" t="s">
        <v>32</v>
      </c>
      <c r="C108" s="21" t="s">
        <v>77</v>
      </c>
      <c r="D108" s="16"/>
      <c r="E108" s="16">
        <v>11</v>
      </c>
      <c r="F108" s="16">
        <v>804</v>
      </c>
      <c r="G108" s="11">
        <f t="shared" si="9"/>
        <v>73.0909090909091</v>
      </c>
    </row>
    <row r="109" spans="1:7" ht="16.5">
      <c r="A109" s="3">
        <f t="shared" si="10"/>
        <v>109</v>
      </c>
      <c r="B109" s="5" t="s">
        <v>21</v>
      </c>
      <c r="C109" s="20" t="s">
        <v>25</v>
      </c>
      <c r="D109" s="16"/>
      <c r="E109" s="16">
        <v>11</v>
      </c>
      <c r="F109" s="16">
        <f>718+85</f>
        <v>803</v>
      </c>
      <c r="G109" s="11">
        <f t="shared" si="9"/>
        <v>73</v>
      </c>
    </row>
    <row r="110" spans="1:7" ht="15.75">
      <c r="A110" s="3">
        <f t="shared" si="10"/>
        <v>110</v>
      </c>
      <c r="B110" s="5" t="s">
        <v>50</v>
      </c>
      <c r="C110" s="17" t="s">
        <v>52</v>
      </c>
      <c r="D110" s="16"/>
      <c r="E110" s="16">
        <v>11</v>
      </c>
      <c r="F110" s="16">
        <f>733+69</f>
        <v>802</v>
      </c>
      <c r="G110" s="11">
        <f t="shared" si="9"/>
        <v>72.9090909090909</v>
      </c>
    </row>
    <row r="111" spans="1:7" ht="15.75">
      <c r="A111" s="3">
        <f t="shared" si="10"/>
        <v>111</v>
      </c>
      <c r="B111" s="5" t="s">
        <v>21</v>
      </c>
      <c r="C111" s="17" t="s">
        <v>97</v>
      </c>
      <c r="D111" s="16"/>
      <c r="E111" s="16">
        <v>11</v>
      </c>
      <c r="F111" s="16">
        <f>737+61</f>
        <v>798</v>
      </c>
      <c r="G111" s="11">
        <f t="shared" si="9"/>
        <v>72.54545454545455</v>
      </c>
    </row>
    <row r="112" spans="1:7" ht="16.5">
      <c r="A112" s="3">
        <f t="shared" si="10"/>
        <v>112</v>
      </c>
      <c r="B112" s="5" t="s">
        <v>44</v>
      </c>
      <c r="C112" s="20" t="s">
        <v>135</v>
      </c>
      <c r="D112" s="16"/>
      <c r="E112" s="16">
        <v>11</v>
      </c>
      <c r="F112" s="16">
        <f>704+93</f>
        <v>797</v>
      </c>
      <c r="G112" s="11">
        <f t="shared" si="9"/>
        <v>72.45454545454545</v>
      </c>
    </row>
    <row r="113" spans="1:7" ht="15.75">
      <c r="A113" s="3">
        <f t="shared" si="10"/>
        <v>113</v>
      </c>
      <c r="B113" s="5" t="s">
        <v>32</v>
      </c>
      <c r="C113" s="17" t="s">
        <v>63</v>
      </c>
      <c r="D113" s="16"/>
      <c r="E113" s="16">
        <v>11</v>
      </c>
      <c r="F113" s="16">
        <f>729+67</f>
        <v>796</v>
      </c>
      <c r="G113" s="11">
        <f t="shared" si="9"/>
        <v>72.36363636363636</v>
      </c>
    </row>
    <row r="114" spans="1:7" ht="16.5">
      <c r="A114" s="3">
        <f t="shared" si="10"/>
        <v>114</v>
      </c>
      <c r="B114" s="5" t="s">
        <v>17</v>
      </c>
      <c r="C114" s="28" t="s">
        <v>70</v>
      </c>
      <c r="D114" s="26"/>
      <c r="E114" s="26">
        <v>11</v>
      </c>
      <c r="F114" s="26">
        <f>713+81</f>
        <v>794</v>
      </c>
      <c r="G114" s="11">
        <f t="shared" si="9"/>
        <v>72.18181818181819</v>
      </c>
    </row>
    <row r="115" spans="1:7" ht="16.5">
      <c r="A115" s="3">
        <f aca="true" t="shared" si="11" ref="A115:A130">A114+1</f>
        <v>115</v>
      </c>
      <c r="B115" s="5" t="s">
        <v>49</v>
      </c>
      <c r="C115" s="31" t="s">
        <v>51</v>
      </c>
      <c r="D115" s="16"/>
      <c r="E115" s="16">
        <v>11</v>
      </c>
      <c r="F115" s="16">
        <f>708+85</f>
        <v>793</v>
      </c>
      <c r="G115" s="11">
        <f t="shared" si="9"/>
        <v>72.0909090909091</v>
      </c>
    </row>
    <row r="116" spans="1:7" ht="16.5">
      <c r="A116" s="3">
        <f t="shared" si="11"/>
        <v>116</v>
      </c>
      <c r="B116" s="5" t="s">
        <v>21</v>
      </c>
      <c r="C116" s="21" t="s">
        <v>101</v>
      </c>
      <c r="D116" s="16"/>
      <c r="E116" s="16">
        <v>11</v>
      </c>
      <c r="F116" s="16">
        <f>720+72</f>
        <v>792</v>
      </c>
      <c r="G116" s="11">
        <f t="shared" si="9"/>
        <v>72</v>
      </c>
    </row>
    <row r="117" spans="1:7" ht="15.75">
      <c r="A117" s="3">
        <f t="shared" si="11"/>
        <v>117</v>
      </c>
      <c r="B117" s="5" t="s">
        <v>36</v>
      </c>
      <c r="C117" s="17" t="s">
        <v>159</v>
      </c>
      <c r="D117" s="16"/>
      <c r="E117" s="16">
        <v>11</v>
      </c>
      <c r="F117" s="16">
        <f>715+76</f>
        <v>791</v>
      </c>
      <c r="G117" s="11">
        <f t="shared" si="9"/>
        <v>71.9090909090909</v>
      </c>
    </row>
    <row r="118" spans="1:7" ht="16.5">
      <c r="A118" s="3">
        <f t="shared" si="11"/>
        <v>118</v>
      </c>
      <c r="B118" s="5" t="s">
        <v>44</v>
      </c>
      <c r="C118" s="20" t="s">
        <v>132</v>
      </c>
      <c r="D118" s="16"/>
      <c r="E118" s="16">
        <v>11</v>
      </c>
      <c r="F118" s="16">
        <f>721+68</f>
        <v>789</v>
      </c>
      <c r="G118" s="11">
        <f t="shared" si="9"/>
        <v>71.72727272727273</v>
      </c>
    </row>
    <row r="119" spans="1:7" ht="16.5">
      <c r="A119" s="3">
        <f t="shared" si="11"/>
        <v>119</v>
      </c>
      <c r="B119" s="5" t="s">
        <v>10</v>
      </c>
      <c r="C119" s="21" t="s">
        <v>113</v>
      </c>
      <c r="D119" s="16"/>
      <c r="E119" s="16">
        <v>11</v>
      </c>
      <c r="F119" s="16">
        <f>714+70</f>
        <v>784</v>
      </c>
      <c r="G119" s="11">
        <f t="shared" si="9"/>
        <v>71.27272727272727</v>
      </c>
    </row>
    <row r="120" spans="1:7" ht="15.75">
      <c r="A120" s="3">
        <f t="shared" si="11"/>
        <v>120</v>
      </c>
      <c r="B120" s="5" t="s">
        <v>38</v>
      </c>
      <c r="C120" s="19" t="s">
        <v>148</v>
      </c>
      <c r="D120" s="16"/>
      <c r="E120" s="16">
        <v>11</v>
      </c>
      <c r="F120" s="16">
        <f>715+67</f>
        <v>782</v>
      </c>
      <c r="G120" s="11">
        <f t="shared" si="9"/>
        <v>71.0909090909091</v>
      </c>
    </row>
    <row r="121" spans="1:7" ht="16.5">
      <c r="A121" s="3">
        <f t="shared" si="11"/>
        <v>121</v>
      </c>
      <c r="B121" s="5" t="s">
        <v>40</v>
      </c>
      <c r="C121" s="21" t="s">
        <v>145</v>
      </c>
      <c r="D121" s="16"/>
      <c r="E121" s="16">
        <v>11</v>
      </c>
      <c r="F121" s="16">
        <v>781</v>
      </c>
      <c r="G121" s="11">
        <f t="shared" si="9"/>
        <v>71</v>
      </c>
    </row>
    <row r="122" spans="1:7" ht="16.5">
      <c r="A122" s="3">
        <f t="shared" si="11"/>
        <v>122</v>
      </c>
      <c r="B122" s="5" t="s">
        <v>24</v>
      </c>
      <c r="C122" s="20" t="s">
        <v>89</v>
      </c>
      <c r="D122" s="16"/>
      <c r="E122" s="16">
        <v>11</v>
      </c>
      <c r="F122" s="16">
        <f>694+85</f>
        <v>779</v>
      </c>
      <c r="G122" s="11">
        <f t="shared" si="9"/>
        <v>70.81818181818181</v>
      </c>
    </row>
    <row r="123" spans="1:7" ht="15.75">
      <c r="A123" s="3">
        <f t="shared" si="11"/>
        <v>123</v>
      </c>
      <c r="B123" s="5" t="s">
        <v>36</v>
      </c>
      <c r="C123" s="17" t="s">
        <v>160</v>
      </c>
      <c r="D123" s="16"/>
      <c r="E123" s="16">
        <v>11</v>
      </c>
      <c r="F123" s="16">
        <f>706+73</f>
        <v>779</v>
      </c>
      <c r="G123" s="11">
        <f t="shared" si="9"/>
        <v>70.81818181818181</v>
      </c>
    </row>
    <row r="124" spans="1:7" ht="16.5">
      <c r="A124" s="3">
        <f t="shared" si="11"/>
        <v>124</v>
      </c>
      <c r="B124" s="5" t="s">
        <v>36</v>
      </c>
      <c r="C124" s="20" t="s">
        <v>41</v>
      </c>
      <c r="D124" s="16"/>
      <c r="E124" s="16">
        <v>11</v>
      </c>
      <c r="F124" s="16">
        <f>686+93</f>
        <v>779</v>
      </c>
      <c r="G124" s="11">
        <f t="shared" si="9"/>
        <v>70.81818181818181</v>
      </c>
    </row>
    <row r="125" spans="1:7" ht="15.75">
      <c r="A125" s="3">
        <f t="shared" si="11"/>
        <v>125</v>
      </c>
      <c r="B125" s="5" t="s">
        <v>21</v>
      </c>
      <c r="C125" s="17" t="s">
        <v>98</v>
      </c>
      <c r="D125" s="16"/>
      <c r="E125" s="16">
        <v>11</v>
      </c>
      <c r="F125" s="16">
        <f>709+69</f>
        <v>778</v>
      </c>
      <c r="G125" s="11">
        <f t="shared" si="9"/>
        <v>70.72727272727273</v>
      </c>
    </row>
    <row r="126" spans="1:7" ht="16.5">
      <c r="A126" s="3">
        <f t="shared" si="11"/>
        <v>126</v>
      </c>
      <c r="B126" s="5" t="s">
        <v>36</v>
      </c>
      <c r="C126" s="20" t="s">
        <v>161</v>
      </c>
      <c r="D126" s="16"/>
      <c r="E126" s="16">
        <v>11</v>
      </c>
      <c r="F126" s="16">
        <f>694+83</f>
        <v>777</v>
      </c>
      <c r="G126" s="11">
        <f t="shared" si="9"/>
        <v>70.63636363636364</v>
      </c>
    </row>
    <row r="127" spans="1:7" ht="16.5">
      <c r="A127" s="3">
        <f t="shared" si="11"/>
        <v>127</v>
      </c>
      <c r="B127" s="5" t="s">
        <v>28</v>
      </c>
      <c r="C127" s="20" t="s">
        <v>80</v>
      </c>
      <c r="D127" s="16"/>
      <c r="E127" s="16">
        <v>11</v>
      </c>
      <c r="F127" s="16">
        <f>702+71</f>
        <v>773</v>
      </c>
      <c r="G127" s="11">
        <f t="shared" si="9"/>
        <v>70.27272727272727</v>
      </c>
    </row>
    <row r="128" spans="1:7" ht="16.5">
      <c r="A128" s="3">
        <f t="shared" si="11"/>
        <v>128</v>
      </c>
      <c r="B128" s="5" t="s">
        <v>50</v>
      </c>
      <c r="C128" s="20" t="s">
        <v>119</v>
      </c>
      <c r="D128" s="16"/>
      <c r="E128" s="16">
        <v>11</v>
      </c>
      <c r="F128" s="16">
        <f>704+68</f>
        <v>772</v>
      </c>
      <c r="G128" s="11">
        <f t="shared" si="9"/>
        <v>70.18181818181819</v>
      </c>
    </row>
    <row r="129" spans="1:7" ht="15.75">
      <c r="A129" s="3">
        <f t="shared" si="11"/>
        <v>129</v>
      </c>
      <c r="B129" s="5" t="s">
        <v>38</v>
      </c>
      <c r="C129" s="17" t="s">
        <v>149</v>
      </c>
      <c r="D129" s="16"/>
      <c r="E129" s="16">
        <v>11</v>
      </c>
      <c r="F129" s="16">
        <v>770</v>
      </c>
      <c r="G129" s="11">
        <f aca="true" t="shared" si="12" ref="G129:G144">F129/E129</f>
        <v>70</v>
      </c>
    </row>
    <row r="130" spans="1:7" ht="15.75">
      <c r="A130" s="3">
        <f t="shared" si="11"/>
        <v>130</v>
      </c>
      <c r="B130" s="5" t="s">
        <v>21</v>
      </c>
      <c r="C130" s="17" t="s">
        <v>167</v>
      </c>
      <c r="D130" s="16"/>
      <c r="E130" s="16">
        <v>11</v>
      </c>
      <c r="F130" s="16">
        <f>707+62</f>
        <v>769</v>
      </c>
      <c r="G130" s="11">
        <f t="shared" si="12"/>
        <v>69.9090909090909</v>
      </c>
    </row>
    <row r="131" spans="1:7" ht="16.5">
      <c r="A131" s="3">
        <f aca="true" t="shared" si="13" ref="A131:A144">A130+1</f>
        <v>131</v>
      </c>
      <c r="B131" s="5" t="s">
        <v>17</v>
      </c>
      <c r="C131" s="28" t="s">
        <v>20</v>
      </c>
      <c r="D131" s="26"/>
      <c r="E131" s="26">
        <v>11</v>
      </c>
      <c r="F131" s="26">
        <f>710+56</f>
        <v>766</v>
      </c>
      <c r="G131" s="11">
        <f t="shared" si="12"/>
        <v>69.63636363636364</v>
      </c>
    </row>
    <row r="132" spans="1:7" ht="16.5">
      <c r="A132" s="3">
        <f t="shared" si="13"/>
        <v>132</v>
      </c>
      <c r="B132" s="5" t="s">
        <v>28</v>
      </c>
      <c r="C132" s="20" t="s">
        <v>81</v>
      </c>
      <c r="D132" s="16"/>
      <c r="E132" s="16">
        <v>11</v>
      </c>
      <c r="F132" s="16">
        <f>689+75</f>
        <v>764</v>
      </c>
      <c r="G132" s="11">
        <f t="shared" si="12"/>
        <v>69.45454545454545</v>
      </c>
    </row>
    <row r="133" spans="1:7" ht="15.75">
      <c r="A133" s="3">
        <f t="shared" si="13"/>
        <v>133</v>
      </c>
      <c r="B133" s="5" t="s">
        <v>44</v>
      </c>
      <c r="C133" s="17" t="s">
        <v>130</v>
      </c>
      <c r="D133" s="16"/>
      <c r="E133" s="16">
        <v>11</v>
      </c>
      <c r="F133" s="16">
        <f>677+80</f>
        <v>757</v>
      </c>
      <c r="G133" s="11">
        <f t="shared" si="12"/>
        <v>68.81818181818181</v>
      </c>
    </row>
    <row r="134" spans="1:7" ht="15.75">
      <c r="A134" s="3">
        <f t="shared" si="13"/>
        <v>134</v>
      </c>
      <c r="B134" s="5" t="s">
        <v>44</v>
      </c>
      <c r="C134" s="17" t="s">
        <v>136</v>
      </c>
      <c r="D134" s="16"/>
      <c r="E134" s="16">
        <v>11</v>
      </c>
      <c r="F134" s="16">
        <f>685+71</f>
        <v>756</v>
      </c>
      <c r="G134" s="11">
        <f t="shared" si="12"/>
        <v>68.72727272727273</v>
      </c>
    </row>
    <row r="135" spans="1:7" ht="16.5">
      <c r="A135" s="3">
        <f t="shared" si="13"/>
        <v>135</v>
      </c>
      <c r="B135" s="5" t="s">
        <v>24</v>
      </c>
      <c r="C135" s="20" t="s">
        <v>90</v>
      </c>
      <c r="D135" s="16"/>
      <c r="E135" s="16">
        <v>11</v>
      </c>
      <c r="F135" s="16">
        <f>678+75</f>
        <v>753</v>
      </c>
      <c r="G135" s="11">
        <f t="shared" si="12"/>
        <v>68.45454545454545</v>
      </c>
    </row>
    <row r="136" spans="1:7" ht="16.5">
      <c r="A136" s="3">
        <f t="shared" si="13"/>
        <v>136</v>
      </c>
      <c r="B136" s="5" t="s">
        <v>50</v>
      </c>
      <c r="C136" s="21" t="s">
        <v>122</v>
      </c>
      <c r="D136" s="16"/>
      <c r="E136" s="16">
        <v>11</v>
      </c>
      <c r="F136" s="16">
        <f>670+81</f>
        <v>751</v>
      </c>
      <c r="G136" s="11">
        <f t="shared" si="12"/>
        <v>68.27272727272727</v>
      </c>
    </row>
    <row r="137" spans="1:7" ht="16.5">
      <c r="A137" s="3">
        <f t="shared" si="13"/>
        <v>137</v>
      </c>
      <c r="B137" s="5" t="s">
        <v>24</v>
      </c>
      <c r="C137" s="21" t="s">
        <v>91</v>
      </c>
      <c r="D137" s="16"/>
      <c r="E137" s="16">
        <v>11</v>
      </c>
      <c r="F137" s="16">
        <f>670+69</f>
        <v>739</v>
      </c>
      <c r="G137" s="11">
        <f t="shared" si="12"/>
        <v>67.18181818181819</v>
      </c>
    </row>
    <row r="138" spans="1:7" ht="16.5">
      <c r="A138" s="3">
        <f t="shared" si="13"/>
        <v>138</v>
      </c>
      <c r="B138" s="5" t="s">
        <v>40</v>
      </c>
      <c r="C138" s="20" t="s">
        <v>144</v>
      </c>
      <c r="D138" s="16"/>
      <c r="E138" s="16">
        <v>11</v>
      </c>
      <c r="F138" s="16">
        <f>651+88</f>
        <v>739</v>
      </c>
      <c r="G138" s="11">
        <f t="shared" si="12"/>
        <v>67.18181818181819</v>
      </c>
    </row>
    <row r="139" spans="1:7" ht="16.5">
      <c r="A139" s="3">
        <f t="shared" si="13"/>
        <v>139</v>
      </c>
      <c r="B139" s="5" t="s">
        <v>50</v>
      </c>
      <c r="C139" s="20" t="s">
        <v>121</v>
      </c>
      <c r="D139" s="16"/>
      <c r="E139" s="16">
        <v>11</v>
      </c>
      <c r="F139" s="16">
        <f>648+78</f>
        <v>726</v>
      </c>
      <c r="G139" s="11">
        <f t="shared" si="12"/>
        <v>66</v>
      </c>
    </row>
    <row r="140" spans="1:7" ht="15.75">
      <c r="A140" s="3">
        <f t="shared" si="13"/>
        <v>140</v>
      </c>
      <c r="B140" s="5" t="s">
        <v>32</v>
      </c>
      <c r="C140" s="17" t="s">
        <v>31</v>
      </c>
      <c r="D140" s="16"/>
      <c r="E140" s="16">
        <v>11</v>
      </c>
      <c r="F140" s="16">
        <v>725</v>
      </c>
      <c r="G140" s="11">
        <f t="shared" si="12"/>
        <v>65.9090909090909</v>
      </c>
    </row>
    <row r="141" spans="1:7" ht="16.5">
      <c r="A141" s="3">
        <f t="shared" si="13"/>
        <v>141</v>
      </c>
      <c r="B141" s="5" t="s">
        <v>28</v>
      </c>
      <c r="C141" s="21" t="s">
        <v>26</v>
      </c>
      <c r="D141" s="16"/>
      <c r="E141" s="16">
        <v>11</v>
      </c>
      <c r="F141" s="16">
        <f>649+58</f>
        <v>707</v>
      </c>
      <c r="G141" s="11">
        <f t="shared" si="12"/>
        <v>64.27272727272727</v>
      </c>
    </row>
    <row r="142" spans="1:7" ht="16.5">
      <c r="A142" s="3">
        <f t="shared" si="13"/>
        <v>142</v>
      </c>
      <c r="B142" s="5" t="s">
        <v>17</v>
      </c>
      <c r="C142" s="29" t="s">
        <v>107</v>
      </c>
      <c r="D142" s="26"/>
      <c r="E142" s="26">
        <v>11</v>
      </c>
      <c r="F142" s="26">
        <f>654+50</f>
        <v>704</v>
      </c>
      <c r="G142" s="11">
        <f t="shared" si="12"/>
        <v>64</v>
      </c>
    </row>
    <row r="143" spans="1:7" ht="16.5">
      <c r="A143" s="3">
        <f t="shared" si="13"/>
        <v>143</v>
      </c>
      <c r="B143" s="5" t="s">
        <v>21</v>
      </c>
      <c r="C143" s="20" t="s">
        <v>100</v>
      </c>
      <c r="D143" s="16"/>
      <c r="E143" s="16">
        <v>11</v>
      </c>
      <c r="F143" s="16">
        <f>601+89</f>
        <v>690</v>
      </c>
      <c r="G143" s="11">
        <f t="shared" si="12"/>
        <v>62.72727272727273</v>
      </c>
    </row>
    <row r="144" spans="1:7" ht="16.5">
      <c r="A144" s="3">
        <f t="shared" si="13"/>
        <v>144</v>
      </c>
      <c r="B144" s="5" t="s">
        <v>36</v>
      </c>
      <c r="C144" s="21" t="s">
        <v>163</v>
      </c>
      <c r="D144" s="16"/>
      <c r="E144" s="16">
        <v>11</v>
      </c>
      <c r="F144" s="16">
        <f>570+65</f>
        <v>635</v>
      </c>
      <c r="G144" s="11">
        <f t="shared" si="12"/>
        <v>57.72727272727273</v>
      </c>
    </row>
    <row r="145" spans="2:7" ht="15.75">
      <c r="B145" s="5"/>
      <c r="D145" s="16"/>
      <c r="E145" s="3"/>
      <c r="F145" s="3"/>
      <c r="G145" s="11"/>
    </row>
    <row r="146" spans="2:7" ht="15.75">
      <c r="B146" s="5"/>
      <c r="D146" s="16"/>
      <c r="E146" s="3"/>
      <c r="F146" s="3"/>
      <c r="G146" s="11"/>
    </row>
    <row r="147" spans="2:7" ht="15.75">
      <c r="B147" s="5"/>
      <c r="D147" s="16"/>
      <c r="E147" s="3"/>
      <c r="F147" s="3"/>
      <c r="G147" s="11"/>
    </row>
    <row r="148" spans="2:7" ht="15.75">
      <c r="B148" s="5"/>
      <c r="D148" s="16"/>
      <c r="E148" s="3"/>
      <c r="F148" s="3"/>
      <c r="G148" s="11"/>
    </row>
    <row r="149" spans="2:7" ht="15.75">
      <c r="B149" s="5"/>
      <c r="D149" s="16"/>
      <c r="E149" s="3"/>
      <c r="F149" s="3"/>
      <c r="G149" s="11"/>
    </row>
    <row r="150" spans="2:7" ht="15.75">
      <c r="B150" s="5"/>
      <c r="D150" s="16"/>
      <c r="E150" s="3"/>
      <c r="F150" s="3"/>
      <c r="G150" s="11"/>
    </row>
    <row r="151" spans="2:7" ht="15.75">
      <c r="B151" s="5"/>
      <c r="D151" s="16"/>
      <c r="E151" s="3"/>
      <c r="F151" s="3"/>
      <c r="G151" s="11"/>
    </row>
    <row r="152" spans="2:7" ht="15.75">
      <c r="B152" s="5"/>
      <c r="D152" s="16"/>
      <c r="E152" s="3"/>
      <c r="F152" s="3"/>
      <c r="G152" s="11"/>
    </row>
    <row r="153" spans="2:7" ht="15.75">
      <c r="B153" s="5"/>
      <c r="D153" s="16"/>
      <c r="E153" s="3"/>
      <c r="F153" s="3"/>
      <c r="G153" s="11"/>
    </row>
    <row r="154" spans="2:7" ht="15.75">
      <c r="B154" s="5"/>
      <c r="D154" s="16"/>
      <c r="E154" s="3"/>
      <c r="F154" s="3"/>
      <c r="G154" s="11"/>
    </row>
    <row r="155" spans="2:7" ht="15.75">
      <c r="B155" s="5"/>
      <c r="D155" s="16"/>
      <c r="E155" s="3"/>
      <c r="F155" s="3"/>
      <c r="G155" s="11"/>
    </row>
  </sheetData>
  <printOptions gridLines="1" horizontalCentered="1"/>
  <pageMargins left="0.7874015748031497" right="0.7874015748031497" top="0.42" bottom="0.83" header="0.19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17.625" style="0" customWidth="1"/>
    <col min="4" max="4" width="1.875" style="0" bestFit="1" customWidth="1"/>
    <col min="5" max="5" width="3.625" style="0" customWidth="1"/>
    <col min="6" max="6" width="4.875" style="0" bestFit="1" customWidth="1"/>
    <col min="7" max="7" width="5.375" style="0" bestFit="1" customWidth="1"/>
  </cols>
  <sheetData>
    <row r="1" spans="1:7" ht="15.75">
      <c r="A1">
        <v>1</v>
      </c>
      <c r="B1" s="5" t="s">
        <v>24</v>
      </c>
      <c r="C1" s="19" t="s">
        <v>30</v>
      </c>
      <c r="D1" s="16"/>
      <c r="E1" s="16">
        <v>11</v>
      </c>
      <c r="F1" s="16">
        <f>632+64</f>
        <v>696</v>
      </c>
      <c r="G1" s="11">
        <f aca="true" t="shared" si="0" ref="G1:G32">F1/E1</f>
        <v>63.27272727272727</v>
      </c>
    </row>
    <row r="2" spans="1:7" ht="15.75">
      <c r="A2">
        <f>A1+1</f>
        <v>2</v>
      </c>
      <c r="B2" s="5" t="s">
        <v>10</v>
      </c>
      <c r="C2" s="19" t="s">
        <v>11</v>
      </c>
      <c r="D2" s="16"/>
      <c r="E2" s="16">
        <v>11</v>
      </c>
      <c r="F2" s="16">
        <f>633+71</f>
        <v>704</v>
      </c>
      <c r="G2" s="11">
        <f t="shared" si="0"/>
        <v>64</v>
      </c>
    </row>
    <row r="3" spans="1:7" ht="15.75">
      <c r="A3">
        <f aca="true" t="shared" si="1" ref="A3:A18">A2+1</f>
        <v>3</v>
      </c>
      <c r="B3" s="5" t="s">
        <v>36</v>
      </c>
      <c r="C3" s="17" t="s">
        <v>29</v>
      </c>
      <c r="D3" s="16"/>
      <c r="E3" s="16">
        <v>11</v>
      </c>
      <c r="F3" s="16">
        <f>653+59</f>
        <v>712</v>
      </c>
      <c r="G3" s="11">
        <f t="shared" si="0"/>
        <v>64.72727272727273</v>
      </c>
    </row>
    <row r="4" spans="1:7" ht="15.75">
      <c r="A4">
        <f t="shared" si="1"/>
        <v>4</v>
      </c>
      <c r="B4" s="5" t="s">
        <v>28</v>
      </c>
      <c r="C4" s="19" t="s">
        <v>58</v>
      </c>
      <c r="D4" s="16"/>
      <c r="E4" s="16">
        <v>11</v>
      </c>
      <c r="F4" s="16">
        <f>653+60</f>
        <v>713</v>
      </c>
      <c r="G4" s="11">
        <f t="shared" si="0"/>
        <v>64.81818181818181</v>
      </c>
    </row>
    <row r="5" spans="1:7" ht="15.75">
      <c r="A5">
        <f t="shared" si="1"/>
        <v>5</v>
      </c>
      <c r="B5" s="5" t="s">
        <v>32</v>
      </c>
      <c r="C5" s="17" t="s">
        <v>63</v>
      </c>
      <c r="D5" s="16"/>
      <c r="E5" s="16">
        <v>11</v>
      </c>
      <c r="F5" s="16">
        <f>660+59</f>
        <v>719</v>
      </c>
      <c r="G5" s="11">
        <f t="shared" si="0"/>
        <v>65.36363636363636</v>
      </c>
    </row>
    <row r="6" spans="1:7" ht="15.75">
      <c r="A6">
        <f t="shared" si="1"/>
        <v>6</v>
      </c>
      <c r="B6" s="5" t="s">
        <v>17</v>
      </c>
      <c r="C6" s="25" t="s">
        <v>102</v>
      </c>
      <c r="D6" s="26"/>
      <c r="E6" s="26">
        <v>11</v>
      </c>
      <c r="F6" s="26">
        <f>667+56</f>
        <v>723</v>
      </c>
      <c r="G6" s="11">
        <f t="shared" si="0"/>
        <v>65.72727272727273</v>
      </c>
    </row>
    <row r="7" spans="1:7" ht="15.75">
      <c r="A7">
        <f t="shared" si="1"/>
        <v>7</v>
      </c>
      <c r="B7" s="5" t="s">
        <v>36</v>
      </c>
      <c r="C7" s="17" t="s">
        <v>159</v>
      </c>
      <c r="D7" s="16"/>
      <c r="E7" s="16">
        <v>11</v>
      </c>
      <c r="F7" s="16">
        <f>653+82</f>
        <v>735</v>
      </c>
      <c r="G7" s="11">
        <f t="shared" si="0"/>
        <v>66.81818181818181</v>
      </c>
    </row>
    <row r="8" spans="1:7" ht="15.75">
      <c r="A8">
        <f t="shared" si="1"/>
        <v>8</v>
      </c>
      <c r="B8" s="5" t="s">
        <v>38</v>
      </c>
      <c r="C8" s="19" t="s">
        <v>148</v>
      </c>
      <c r="D8" s="16"/>
      <c r="E8" s="16">
        <v>11</v>
      </c>
      <c r="F8" s="16">
        <f>680+58</f>
        <v>738</v>
      </c>
      <c r="G8" s="11">
        <f t="shared" si="0"/>
        <v>67.0909090909091</v>
      </c>
    </row>
    <row r="9" spans="1:7" ht="15.75">
      <c r="A9">
        <f t="shared" si="1"/>
        <v>9</v>
      </c>
      <c r="B9" s="5" t="s">
        <v>50</v>
      </c>
      <c r="C9" s="19" t="s">
        <v>115</v>
      </c>
      <c r="D9" s="16"/>
      <c r="E9" s="16">
        <v>11</v>
      </c>
      <c r="F9" s="16">
        <f>678+60</f>
        <v>738</v>
      </c>
      <c r="G9" s="11">
        <f t="shared" si="0"/>
        <v>67.0909090909091</v>
      </c>
    </row>
    <row r="10" spans="1:7" ht="15.75">
      <c r="A10">
        <f t="shared" si="1"/>
        <v>10</v>
      </c>
      <c r="B10" s="5" t="s">
        <v>38</v>
      </c>
      <c r="C10" s="17" t="s">
        <v>146</v>
      </c>
      <c r="D10" s="16"/>
      <c r="E10" s="16">
        <v>11</v>
      </c>
      <c r="F10" s="16">
        <f>683+67</f>
        <v>750</v>
      </c>
      <c r="G10" s="11">
        <f t="shared" si="0"/>
        <v>68.18181818181819</v>
      </c>
    </row>
    <row r="11" spans="1:7" ht="15.75">
      <c r="A11">
        <f t="shared" si="1"/>
        <v>11</v>
      </c>
      <c r="B11" s="5" t="s">
        <v>32</v>
      </c>
      <c r="C11" s="17" t="s">
        <v>60</v>
      </c>
      <c r="D11" s="16"/>
      <c r="E11" s="16">
        <v>11</v>
      </c>
      <c r="F11" s="16">
        <f>677+74</f>
        <v>751</v>
      </c>
      <c r="G11" s="11">
        <f t="shared" si="0"/>
        <v>68.27272727272727</v>
      </c>
    </row>
    <row r="12" spans="1:7" ht="15.75">
      <c r="A12">
        <f t="shared" si="1"/>
        <v>12</v>
      </c>
      <c r="B12" s="5" t="s">
        <v>21</v>
      </c>
      <c r="C12" s="14" t="s">
        <v>13</v>
      </c>
      <c r="D12" s="16"/>
      <c r="E12" s="16">
        <v>11</v>
      </c>
      <c r="F12" s="16">
        <f>685+69</f>
        <v>754</v>
      </c>
      <c r="G12" s="11">
        <f t="shared" si="0"/>
        <v>68.54545454545455</v>
      </c>
    </row>
    <row r="13" spans="1:7" ht="15.75">
      <c r="A13">
        <f t="shared" si="1"/>
        <v>13</v>
      </c>
      <c r="B13" s="5" t="s">
        <v>32</v>
      </c>
      <c r="C13" s="17" t="s">
        <v>72</v>
      </c>
      <c r="D13" s="16"/>
      <c r="E13" s="16">
        <v>11</v>
      </c>
      <c r="F13" s="16">
        <f>681+73</f>
        <v>754</v>
      </c>
      <c r="G13" s="11">
        <f t="shared" si="0"/>
        <v>68.54545454545455</v>
      </c>
    </row>
    <row r="14" spans="1:7" ht="15.75">
      <c r="A14">
        <f t="shared" si="1"/>
        <v>14</v>
      </c>
      <c r="B14" s="5" t="s">
        <v>21</v>
      </c>
      <c r="C14" s="19" t="s">
        <v>93</v>
      </c>
      <c r="D14" s="16"/>
      <c r="E14" s="16">
        <v>11</v>
      </c>
      <c r="F14" s="16">
        <f>685+74</f>
        <v>759</v>
      </c>
      <c r="G14" s="11">
        <f t="shared" si="0"/>
        <v>69</v>
      </c>
    </row>
    <row r="15" spans="1:7" ht="15.75">
      <c r="A15">
        <f t="shared" si="1"/>
        <v>15</v>
      </c>
      <c r="B15" s="5" t="s">
        <v>24</v>
      </c>
      <c r="C15" s="17" t="s">
        <v>86</v>
      </c>
      <c r="D15" s="16"/>
      <c r="E15" s="16">
        <v>11</v>
      </c>
      <c r="F15" s="16">
        <f>693+69</f>
        <v>762</v>
      </c>
      <c r="G15" s="11">
        <f t="shared" si="0"/>
        <v>69.27272727272727</v>
      </c>
    </row>
    <row r="16" spans="1:7" ht="15.75">
      <c r="A16">
        <f t="shared" si="1"/>
        <v>16</v>
      </c>
      <c r="B16" s="5" t="s">
        <v>40</v>
      </c>
      <c r="C16" s="19" t="s">
        <v>137</v>
      </c>
      <c r="D16" s="16"/>
      <c r="E16" s="16">
        <v>11</v>
      </c>
      <c r="F16" s="16">
        <f>693+70</f>
        <v>763</v>
      </c>
      <c r="G16" s="11">
        <f t="shared" si="0"/>
        <v>69.36363636363636</v>
      </c>
    </row>
    <row r="17" spans="1:7" ht="15.75">
      <c r="A17">
        <f t="shared" si="1"/>
        <v>17</v>
      </c>
      <c r="B17" s="5" t="s">
        <v>24</v>
      </c>
      <c r="C17" s="17" t="s">
        <v>59</v>
      </c>
      <c r="D17" s="16"/>
      <c r="E17" s="16">
        <v>11</v>
      </c>
      <c r="F17" s="16">
        <f>697+73</f>
        <v>770</v>
      </c>
      <c r="G17" s="11">
        <f t="shared" si="0"/>
        <v>70</v>
      </c>
    </row>
    <row r="18" spans="1:7" ht="15.75">
      <c r="A18">
        <f t="shared" si="1"/>
        <v>18</v>
      </c>
      <c r="B18" s="5" t="s">
        <v>28</v>
      </c>
      <c r="C18" s="17" t="s">
        <v>33</v>
      </c>
      <c r="D18" s="16"/>
      <c r="E18" s="16">
        <v>11</v>
      </c>
      <c r="F18" s="16">
        <f>705+66</f>
        <v>771</v>
      </c>
      <c r="G18" s="11">
        <f t="shared" si="0"/>
        <v>70.0909090909091</v>
      </c>
    </row>
    <row r="19" spans="1:7" ht="15.75">
      <c r="A19">
        <f aca="true" t="shared" si="2" ref="A19:A34">A18+1</f>
        <v>19</v>
      </c>
      <c r="B19" s="5" t="s">
        <v>50</v>
      </c>
      <c r="C19" s="17" t="s">
        <v>48</v>
      </c>
      <c r="D19" s="16"/>
      <c r="E19" s="16">
        <v>11</v>
      </c>
      <c r="F19" s="16">
        <f>714+60</f>
        <v>774</v>
      </c>
      <c r="G19" s="11">
        <f t="shared" si="0"/>
        <v>70.36363636363636</v>
      </c>
    </row>
    <row r="20" spans="1:7" ht="15.75">
      <c r="A20">
        <f t="shared" si="2"/>
        <v>20</v>
      </c>
      <c r="B20" s="5" t="s">
        <v>38</v>
      </c>
      <c r="C20" s="17" t="s">
        <v>66</v>
      </c>
      <c r="D20" s="16"/>
      <c r="E20" s="16">
        <v>11</v>
      </c>
      <c r="F20" s="16">
        <f>715+64</f>
        <v>779</v>
      </c>
      <c r="G20" s="11">
        <f t="shared" si="0"/>
        <v>70.81818181818181</v>
      </c>
    </row>
    <row r="21" spans="1:7" ht="15.75">
      <c r="A21">
        <f t="shared" si="2"/>
        <v>21</v>
      </c>
      <c r="B21" s="5" t="s">
        <v>21</v>
      </c>
      <c r="C21" s="17" t="s">
        <v>98</v>
      </c>
      <c r="D21" s="16"/>
      <c r="E21" s="16">
        <v>11</v>
      </c>
      <c r="F21" s="16">
        <f>692+88</f>
        <v>780</v>
      </c>
      <c r="G21" s="11">
        <f t="shared" si="0"/>
        <v>70.9090909090909</v>
      </c>
    </row>
    <row r="22" spans="1:7" ht="15.75">
      <c r="A22">
        <f t="shared" si="2"/>
        <v>22</v>
      </c>
      <c r="B22" s="5" t="s">
        <v>17</v>
      </c>
      <c r="C22" s="27" t="s">
        <v>55</v>
      </c>
      <c r="D22" s="26"/>
      <c r="E22" s="26">
        <v>11</v>
      </c>
      <c r="F22" s="26">
        <f>685+98</f>
        <v>783</v>
      </c>
      <c r="G22" s="11">
        <f t="shared" si="0"/>
        <v>71.18181818181819</v>
      </c>
    </row>
    <row r="23" spans="1:7" ht="15.75">
      <c r="A23">
        <f t="shared" si="2"/>
        <v>23</v>
      </c>
      <c r="B23" s="5" t="s">
        <v>44</v>
      </c>
      <c r="C23" s="17" t="s">
        <v>128</v>
      </c>
      <c r="D23" s="16"/>
      <c r="E23" s="16">
        <v>11</v>
      </c>
      <c r="F23" s="16">
        <f>697+89</f>
        <v>786</v>
      </c>
      <c r="G23" s="11">
        <f t="shared" si="0"/>
        <v>71.45454545454545</v>
      </c>
    </row>
    <row r="24" spans="1:7" ht="15.75">
      <c r="A24">
        <f t="shared" si="2"/>
        <v>24</v>
      </c>
      <c r="B24" s="5" t="s">
        <v>17</v>
      </c>
      <c r="C24" s="25" t="s">
        <v>56</v>
      </c>
      <c r="D24" s="26"/>
      <c r="E24" s="26">
        <v>11</v>
      </c>
      <c r="F24" s="26">
        <f>705+85</f>
        <v>790</v>
      </c>
      <c r="G24" s="11">
        <f t="shared" si="0"/>
        <v>71.81818181818181</v>
      </c>
    </row>
    <row r="25" spans="1:7" ht="15.75">
      <c r="A25">
        <f t="shared" si="2"/>
        <v>25</v>
      </c>
      <c r="B25" s="5" t="s">
        <v>36</v>
      </c>
      <c r="C25" s="17" t="s">
        <v>158</v>
      </c>
      <c r="D25" s="16"/>
      <c r="E25" s="16">
        <v>11</v>
      </c>
      <c r="F25" s="16">
        <f>708+83</f>
        <v>791</v>
      </c>
      <c r="G25" s="11">
        <f t="shared" si="0"/>
        <v>71.9090909090909</v>
      </c>
    </row>
    <row r="26" spans="1:7" ht="15.75">
      <c r="A26">
        <f t="shared" si="2"/>
        <v>26</v>
      </c>
      <c r="B26" s="5" t="s">
        <v>50</v>
      </c>
      <c r="C26" s="17" t="s">
        <v>114</v>
      </c>
      <c r="D26" s="16"/>
      <c r="E26" s="16">
        <v>11</v>
      </c>
      <c r="F26" s="16">
        <f>719+72</f>
        <v>791</v>
      </c>
      <c r="G26" s="11">
        <f t="shared" si="0"/>
        <v>71.9090909090909</v>
      </c>
    </row>
    <row r="27" spans="1:7" ht="15.75">
      <c r="A27">
        <f t="shared" si="2"/>
        <v>27</v>
      </c>
      <c r="B27" s="5" t="s">
        <v>21</v>
      </c>
      <c r="C27" s="17" t="s">
        <v>97</v>
      </c>
      <c r="D27" s="16"/>
      <c r="E27" s="16">
        <v>11</v>
      </c>
      <c r="F27" s="16">
        <f>730+62</f>
        <v>792</v>
      </c>
      <c r="G27" s="11">
        <f t="shared" si="0"/>
        <v>72</v>
      </c>
    </row>
    <row r="28" spans="1:7" ht="15.75">
      <c r="A28">
        <f t="shared" si="2"/>
        <v>28</v>
      </c>
      <c r="B28" s="5" t="s">
        <v>32</v>
      </c>
      <c r="C28" s="17" t="s">
        <v>31</v>
      </c>
      <c r="D28" s="16"/>
      <c r="E28" s="16">
        <v>11</v>
      </c>
      <c r="F28" s="16">
        <v>796</v>
      </c>
      <c r="G28" s="11">
        <f t="shared" si="0"/>
        <v>72.36363636363636</v>
      </c>
    </row>
    <row r="29" spans="1:7" ht="15.75">
      <c r="A29">
        <f t="shared" si="2"/>
        <v>29</v>
      </c>
      <c r="B29" s="5" t="s">
        <v>50</v>
      </c>
      <c r="C29" s="17" t="s">
        <v>116</v>
      </c>
      <c r="D29" s="16"/>
      <c r="E29" s="16">
        <v>11</v>
      </c>
      <c r="F29" s="16">
        <f>729+69</f>
        <v>798</v>
      </c>
      <c r="G29" s="11">
        <f t="shared" si="0"/>
        <v>72.54545454545455</v>
      </c>
    </row>
    <row r="30" spans="1:7" ht="15.75">
      <c r="A30">
        <f t="shared" si="2"/>
        <v>30</v>
      </c>
      <c r="B30" s="5" t="s">
        <v>49</v>
      </c>
      <c r="C30" s="17" t="s">
        <v>164</v>
      </c>
      <c r="D30" s="16"/>
      <c r="E30" s="16">
        <v>11</v>
      </c>
      <c r="F30" s="16">
        <f>739+62</f>
        <v>801</v>
      </c>
      <c r="G30" s="11">
        <f t="shared" si="0"/>
        <v>72.81818181818181</v>
      </c>
    </row>
    <row r="31" spans="1:7" ht="16.5">
      <c r="A31">
        <f t="shared" si="2"/>
        <v>31</v>
      </c>
      <c r="B31" s="5" t="s">
        <v>28</v>
      </c>
      <c r="C31" s="21" t="s">
        <v>26</v>
      </c>
      <c r="D31" s="16"/>
      <c r="E31" s="16">
        <v>11</v>
      </c>
      <c r="F31" s="16">
        <f>741+63</f>
        <v>804</v>
      </c>
      <c r="G31" s="11">
        <f t="shared" si="0"/>
        <v>73.0909090909091</v>
      </c>
    </row>
    <row r="32" spans="1:7" ht="15.75">
      <c r="A32">
        <f t="shared" si="2"/>
        <v>32</v>
      </c>
      <c r="B32" s="5" t="s">
        <v>40</v>
      </c>
      <c r="C32" s="17" t="s">
        <v>43</v>
      </c>
      <c r="D32" s="16"/>
      <c r="E32" s="16">
        <v>11</v>
      </c>
      <c r="F32" s="16">
        <f>715+93</f>
        <v>808</v>
      </c>
      <c r="G32" s="11">
        <f t="shared" si="0"/>
        <v>73.45454545454545</v>
      </c>
    </row>
    <row r="33" spans="1:7" ht="15.75">
      <c r="A33">
        <f t="shared" si="2"/>
        <v>33</v>
      </c>
      <c r="B33" s="5" t="s">
        <v>17</v>
      </c>
      <c r="C33" s="25" t="s">
        <v>16</v>
      </c>
      <c r="D33" s="26"/>
      <c r="E33" s="26">
        <v>11</v>
      </c>
      <c r="F33" s="26">
        <f>701+108</f>
        <v>809</v>
      </c>
      <c r="G33" s="11">
        <f aca="true" t="shared" si="3" ref="G33:G64">F33/E33</f>
        <v>73.54545454545455</v>
      </c>
    </row>
    <row r="34" spans="1:7" ht="15.75">
      <c r="A34">
        <f t="shared" si="2"/>
        <v>34</v>
      </c>
      <c r="B34" s="5" t="s">
        <v>36</v>
      </c>
      <c r="C34" s="17" t="s">
        <v>67</v>
      </c>
      <c r="D34" s="16"/>
      <c r="E34" s="16">
        <v>11</v>
      </c>
      <c r="F34" s="16">
        <f>721+88</f>
        <v>809</v>
      </c>
      <c r="G34" s="11">
        <f t="shared" si="3"/>
        <v>73.54545454545455</v>
      </c>
    </row>
    <row r="35" spans="1:7" ht="15.75">
      <c r="A35">
        <f aca="true" t="shared" si="4" ref="A35:A50">A34+1</f>
        <v>35</v>
      </c>
      <c r="B35" s="5" t="s">
        <v>50</v>
      </c>
      <c r="C35" s="17" t="s">
        <v>69</v>
      </c>
      <c r="D35" s="16"/>
      <c r="E35" s="16">
        <v>11</v>
      </c>
      <c r="F35" s="16">
        <f>742+68</f>
        <v>810</v>
      </c>
      <c r="G35" s="11">
        <f t="shared" si="3"/>
        <v>73.63636363636364</v>
      </c>
    </row>
    <row r="36" spans="1:7" ht="15.75">
      <c r="A36">
        <f t="shared" si="4"/>
        <v>36</v>
      </c>
      <c r="B36" s="5" t="s">
        <v>44</v>
      </c>
      <c r="C36" s="19" t="s">
        <v>64</v>
      </c>
      <c r="D36" s="16"/>
      <c r="E36" s="16">
        <v>11</v>
      </c>
      <c r="F36" s="16">
        <f>727+85</f>
        <v>812</v>
      </c>
      <c r="G36" s="11">
        <f t="shared" si="3"/>
        <v>73.81818181818181</v>
      </c>
    </row>
    <row r="37" spans="1:7" ht="16.5">
      <c r="A37">
        <f t="shared" si="4"/>
        <v>37</v>
      </c>
      <c r="B37" s="5" t="s">
        <v>21</v>
      </c>
      <c r="C37" s="20" t="s">
        <v>100</v>
      </c>
      <c r="D37" s="16"/>
      <c r="E37" s="16">
        <v>11</v>
      </c>
      <c r="F37" s="16">
        <f>741+72</f>
        <v>813</v>
      </c>
      <c r="G37" s="11">
        <f t="shared" si="3"/>
        <v>73.9090909090909</v>
      </c>
    </row>
    <row r="38" spans="1:7" ht="15.75">
      <c r="A38">
        <f t="shared" si="4"/>
        <v>38</v>
      </c>
      <c r="B38" s="5" t="s">
        <v>36</v>
      </c>
      <c r="C38" s="17" t="s">
        <v>61</v>
      </c>
      <c r="D38" s="16"/>
      <c r="E38" s="16">
        <v>11</v>
      </c>
      <c r="F38" s="16">
        <f>730+83</f>
        <v>813</v>
      </c>
      <c r="G38" s="11">
        <f t="shared" si="3"/>
        <v>73.9090909090909</v>
      </c>
    </row>
    <row r="39" spans="1:7" ht="15.75">
      <c r="A39">
        <f t="shared" si="4"/>
        <v>39</v>
      </c>
      <c r="B39" s="5" t="s">
        <v>44</v>
      </c>
      <c r="C39" s="17" t="s">
        <v>133</v>
      </c>
      <c r="D39" s="16"/>
      <c r="E39" s="16">
        <v>11</v>
      </c>
      <c r="F39" s="16">
        <f>745+68</f>
        <v>813</v>
      </c>
      <c r="G39" s="11">
        <f t="shared" si="3"/>
        <v>73.9090909090909</v>
      </c>
    </row>
    <row r="40" spans="1:7" ht="15.75">
      <c r="A40">
        <f t="shared" si="4"/>
        <v>40</v>
      </c>
      <c r="B40" s="5" t="s">
        <v>40</v>
      </c>
      <c r="C40" s="17" t="s">
        <v>138</v>
      </c>
      <c r="D40" s="16"/>
      <c r="E40" s="16">
        <v>11</v>
      </c>
      <c r="F40" s="16">
        <f>750+64</f>
        <v>814</v>
      </c>
      <c r="G40" s="11">
        <f t="shared" si="3"/>
        <v>74</v>
      </c>
    </row>
    <row r="41" spans="1:7" ht="15.75">
      <c r="A41">
        <f t="shared" si="4"/>
        <v>41</v>
      </c>
      <c r="B41" s="5" t="s">
        <v>21</v>
      </c>
      <c r="C41" s="17" t="s">
        <v>167</v>
      </c>
      <c r="D41" s="16"/>
      <c r="E41" s="16">
        <v>11</v>
      </c>
      <c r="F41" s="16">
        <f>755+61</f>
        <v>816</v>
      </c>
      <c r="G41" s="11">
        <f t="shared" si="3"/>
        <v>74.18181818181819</v>
      </c>
    </row>
    <row r="42" spans="1:7" ht="16.5">
      <c r="A42">
        <f t="shared" si="4"/>
        <v>42</v>
      </c>
      <c r="B42" s="5" t="s">
        <v>24</v>
      </c>
      <c r="C42" s="20" t="s">
        <v>90</v>
      </c>
      <c r="D42" s="16"/>
      <c r="E42" s="16">
        <v>11</v>
      </c>
      <c r="F42" s="16">
        <f>747+69</f>
        <v>816</v>
      </c>
      <c r="G42" s="11">
        <f t="shared" si="3"/>
        <v>74.18181818181819</v>
      </c>
    </row>
    <row r="43" spans="1:7" ht="15.75">
      <c r="A43">
        <f t="shared" si="4"/>
        <v>43</v>
      </c>
      <c r="B43" s="5" t="s">
        <v>21</v>
      </c>
      <c r="C43" s="17" t="s">
        <v>95</v>
      </c>
      <c r="D43" s="16"/>
      <c r="E43" s="16">
        <v>11</v>
      </c>
      <c r="F43" s="16">
        <f>732+85</f>
        <v>817</v>
      </c>
      <c r="G43" s="11">
        <f t="shared" si="3"/>
        <v>74.27272727272727</v>
      </c>
    </row>
    <row r="44" spans="1:7" ht="15.75">
      <c r="A44">
        <f t="shared" si="4"/>
        <v>44</v>
      </c>
      <c r="B44" s="5" t="s">
        <v>44</v>
      </c>
      <c r="C44" s="17" t="s">
        <v>42</v>
      </c>
      <c r="D44" s="16"/>
      <c r="E44" s="16">
        <v>11</v>
      </c>
      <c r="F44" s="16">
        <f>747+71</f>
        <v>818</v>
      </c>
      <c r="G44" s="11">
        <f t="shared" si="3"/>
        <v>74.36363636363636</v>
      </c>
    </row>
    <row r="45" spans="1:7" ht="15.75">
      <c r="A45">
        <f t="shared" si="4"/>
        <v>45</v>
      </c>
      <c r="B45" s="5" t="s">
        <v>40</v>
      </c>
      <c r="C45" s="17" t="s">
        <v>139</v>
      </c>
      <c r="D45" s="16"/>
      <c r="E45" s="16">
        <v>11</v>
      </c>
      <c r="F45" s="16">
        <v>818</v>
      </c>
      <c r="G45" s="11">
        <f t="shared" si="3"/>
        <v>74.36363636363636</v>
      </c>
    </row>
    <row r="46" spans="1:7" ht="15.75">
      <c r="A46">
        <f t="shared" si="4"/>
        <v>46</v>
      </c>
      <c r="B46" s="5" t="s">
        <v>17</v>
      </c>
      <c r="C46" s="25" t="s">
        <v>18</v>
      </c>
      <c r="D46" s="26"/>
      <c r="E46" s="26">
        <v>11</v>
      </c>
      <c r="F46" s="26">
        <f>770+50</f>
        <v>820</v>
      </c>
      <c r="G46" s="11">
        <f t="shared" si="3"/>
        <v>74.54545454545455</v>
      </c>
    </row>
    <row r="47" spans="1:7" ht="16.5">
      <c r="A47">
        <f t="shared" si="4"/>
        <v>47</v>
      </c>
      <c r="B47" s="5" t="s">
        <v>40</v>
      </c>
      <c r="C47" s="20" t="s">
        <v>144</v>
      </c>
      <c r="D47" s="16"/>
      <c r="E47" s="16">
        <v>11</v>
      </c>
      <c r="F47" s="16">
        <f>744+77</f>
        <v>821</v>
      </c>
      <c r="G47" s="11">
        <f t="shared" si="3"/>
        <v>74.63636363636364</v>
      </c>
    </row>
    <row r="48" spans="1:7" ht="15.75">
      <c r="A48">
        <f t="shared" si="4"/>
        <v>48</v>
      </c>
      <c r="B48" s="5" t="s">
        <v>28</v>
      </c>
      <c r="C48" s="17" t="s">
        <v>82</v>
      </c>
      <c r="D48" s="16"/>
      <c r="E48" s="16">
        <v>11</v>
      </c>
      <c r="F48" s="16">
        <f>755+68</f>
        <v>823</v>
      </c>
      <c r="G48" s="11">
        <f t="shared" si="3"/>
        <v>74.81818181818181</v>
      </c>
    </row>
    <row r="49" spans="1:7" ht="15.75">
      <c r="A49">
        <f t="shared" si="4"/>
        <v>49</v>
      </c>
      <c r="B49" s="5" t="s">
        <v>24</v>
      </c>
      <c r="C49" s="17" t="s">
        <v>85</v>
      </c>
      <c r="D49" s="16"/>
      <c r="E49" s="16">
        <v>11</v>
      </c>
      <c r="F49" s="16">
        <f>751+74</f>
        <v>825</v>
      </c>
      <c r="G49" s="11">
        <f t="shared" si="3"/>
        <v>75</v>
      </c>
    </row>
    <row r="50" spans="1:7" ht="15.75">
      <c r="A50">
        <f t="shared" si="4"/>
        <v>50</v>
      </c>
      <c r="B50" s="5" t="s">
        <v>36</v>
      </c>
      <c r="C50" s="19" t="s">
        <v>157</v>
      </c>
      <c r="D50" s="16"/>
      <c r="E50" s="16">
        <v>11</v>
      </c>
      <c r="F50" s="16">
        <f>749+76</f>
        <v>825</v>
      </c>
      <c r="G50" s="11">
        <f t="shared" si="3"/>
        <v>75</v>
      </c>
    </row>
    <row r="51" spans="1:7" ht="15.75">
      <c r="A51">
        <f aca="true" t="shared" si="5" ref="A51:A66">A50+1</f>
        <v>51</v>
      </c>
      <c r="B51" s="5" t="s">
        <v>10</v>
      </c>
      <c r="C51" s="17" t="s">
        <v>109</v>
      </c>
      <c r="D51" s="16"/>
      <c r="E51" s="16">
        <v>11</v>
      </c>
      <c r="F51" s="16">
        <f>756+70</f>
        <v>826</v>
      </c>
      <c r="G51" s="11">
        <f t="shared" si="3"/>
        <v>75.0909090909091</v>
      </c>
    </row>
    <row r="52" spans="1:7" ht="15.75">
      <c r="A52">
        <f t="shared" si="5"/>
        <v>52</v>
      </c>
      <c r="B52" s="5" t="s">
        <v>50</v>
      </c>
      <c r="C52" s="17" t="s">
        <v>52</v>
      </c>
      <c r="D52" s="16"/>
      <c r="E52" s="16">
        <v>11</v>
      </c>
      <c r="F52" s="16">
        <f>759+68</f>
        <v>827</v>
      </c>
      <c r="G52" s="11">
        <f t="shared" si="3"/>
        <v>75.18181818181819</v>
      </c>
    </row>
    <row r="53" spans="1:7" ht="15.75">
      <c r="A53">
        <f t="shared" si="5"/>
        <v>53</v>
      </c>
      <c r="B53" s="5" t="s">
        <v>21</v>
      </c>
      <c r="C53" s="17" t="s">
        <v>94</v>
      </c>
      <c r="D53" s="16"/>
      <c r="E53" s="16">
        <v>11</v>
      </c>
      <c r="F53" s="16">
        <v>832</v>
      </c>
      <c r="G53" s="11">
        <f t="shared" si="3"/>
        <v>75.63636363636364</v>
      </c>
    </row>
    <row r="54" spans="1:7" ht="15.75">
      <c r="A54">
        <f t="shared" si="5"/>
        <v>54</v>
      </c>
      <c r="B54" s="5" t="s">
        <v>50</v>
      </c>
      <c r="C54" s="17" t="s">
        <v>117</v>
      </c>
      <c r="D54" s="16"/>
      <c r="E54" s="16">
        <v>11</v>
      </c>
      <c r="F54" s="16">
        <f>754+78</f>
        <v>832</v>
      </c>
      <c r="G54" s="11">
        <f t="shared" si="3"/>
        <v>75.63636363636364</v>
      </c>
    </row>
    <row r="55" spans="1:7" ht="16.5">
      <c r="A55">
        <f t="shared" si="5"/>
        <v>55</v>
      </c>
      <c r="B55" s="5" t="s">
        <v>17</v>
      </c>
      <c r="C55" s="28" t="s">
        <v>20</v>
      </c>
      <c r="D55" s="26"/>
      <c r="E55" s="26">
        <v>11</v>
      </c>
      <c r="F55" s="26">
        <f>759+74</f>
        <v>833</v>
      </c>
      <c r="G55" s="11">
        <f t="shared" si="3"/>
        <v>75.72727272727273</v>
      </c>
    </row>
    <row r="56" spans="1:7" ht="15.75">
      <c r="A56">
        <f t="shared" si="5"/>
        <v>56</v>
      </c>
      <c r="B56" s="5" t="s">
        <v>28</v>
      </c>
      <c r="C56" s="17" t="s">
        <v>22</v>
      </c>
      <c r="D56" s="16"/>
      <c r="E56" s="16">
        <v>11</v>
      </c>
      <c r="F56" s="16">
        <f>775+58</f>
        <v>833</v>
      </c>
      <c r="G56" s="11">
        <f t="shared" si="3"/>
        <v>75.72727272727273</v>
      </c>
    </row>
    <row r="57" spans="1:7" ht="15.75">
      <c r="A57">
        <f t="shared" si="5"/>
        <v>57</v>
      </c>
      <c r="B57" s="5" t="s">
        <v>32</v>
      </c>
      <c r="C57" s="19" t="s">
        <v>71</v>
      </c>
      <c r="D57" s="16"/>
      <c r="E57" s="16">
        <v>11</v>
      </c>
      <c r="F57" s="16">
        <f>751+83</f>
        <v>834</v>
      </c>
      <c r="G57" s="11">
        <f t="shared" si="3"/>
        <v>75.81818181818181</v>
      </c>
    </row>
    <row r="58" spans="1:7" ht="15.75">
      <c r="A58">
        <f t="shared" si="5"/>
        <v>58</v>
      </c>
      <c r="B58" s="5" t="s">
        <v>40</v>
      </c>
      <c r="C58" s="17" t="s">
        <v>140</v>
      </c>
      <c r="D58" s="16"/>
      <c r="E58" s="16">
        <v>11</v>
      </c>
      <c r="F58" s="16">
        <v>835</v>
      </c>
      <c r="G58" s="11">
        <f t="shared" si="3"/>
        <v>75.9090909090909</v>
      </c>
    </row>
    <row r="59" spans="1:7" ht="16.5">
      <c r="A59">
        <f t="shared" si="5"/>
        <v>59</v>
      </c>
      <c r="B59" s="5" t="s">
        <v>44</v>
      </c>
      <c r="C59" s="20" t="s">
        <v>135</v>
      </c>
      <c r="D59" s="16"/>
      <c r="E59" s="16">
        <v>11</v>
      </c>
      <c r="F59" s="16">
        <f>761+74</f>
        <v>835</v>
      </c>
      <c r="G59" s="11">
        <f t="shared" si="3"/>
        <v>75.9090909090909</v>
      </c>
    </row>
    <row r="60" spans="1:7" ht="15.75">
      <c r="A60">
        <f t="shared" si="5"/>
        <v>60</v>
      </c>
      <c r="B60" s="5" t="s">
        <v>38</v>
      </c>
      <c r="C60" s="17" t="s">
        <v>39</v>
      </c>
      <c r="D60" s="16"/>
      <c r="E60" s="16">
        <v>11</v>
      </c>
      <c r="F60" s="16">
        <f>777+59</f>
        <v>836</v>
      </c>
      <c r="G60" s="11">
        <f t="shared" si="3"/>
        <v>76</v>
      </c>
    </row>
    <row r="61" spans="1:7" ht="15.75">
      <c r="A61">
        <f>A60+1</f>
        <v>61</v>
      </c>
      <c r="B61" s="5" t="s">
        <v>40</v>
      </c>
      <c r="C61" s="17" t="s">
        <v>143</v>
      </c>
      <c r="D61" s="16"/>
      <c r="E61" s="16">
        <v>11</v>
      </c>
      <c r="F61" s="16">
        <f>764+73</f>
        <v>837</v>
      </c>
      <c r="G61" s="11">
        <f t="shared" si="3"/>
        <v>76.0909090909091</v>
      </c>
    </row>
    <row r="62" spans="1:7" ht="15.75">
      <c r="A62">
        <f t="shared" si="5"/>
        <v>62</v>
      </c>
      <c r="B62" s="5" t="s">
        <v>28</v>
      </c>
      <c r="C62" s="17" t="s">
        <v>79</v>
      </c>
      <c r="D62" s="16"/>
      <c r="E62" s="16">
        <v>11</v>
      </c>
      <c r="F62" s="16">
        <f>762+76</f>
        <v>838</v>
      </c>
      <c r="G62" s="11">
        <f t="shared" si="3"/>
        <v>76.18181818181819</v>
      </c>
    </row>
    <row r="63" spans="1:7" ht="15.75">
      <c r="A63">
        <f t="shared" si="5"/>
        <v>63</v>
      </c>
      <c r="B63" s="5" t="s">
        <v>36</v>
      </c>
      <c r="C63" s="17" t="s">
        <v>160</v>
      </c>
      <c r="D63" s="16"/>
      <c r="E63" s="16">
        <v>11</v>
      </c>
      <c r="F63" s="16">
        <f>777+61</f>
        <v>838</v>
      </c>
      <c r="G63" s="11">
        <f t="shared" si="3"/>
        <v>76.18181818181819</v>
      </c>
    </row>
    <row r="64" spans="1:7" ht="15.75">
      <c r="A64">
        <f t="shared" si="5"/>
        <v>64</v>
      </c>
      <c r="B64" s="5" t="s">
        <v>38</v>
      </c>
      <c r="C64" s="17" t="s">
        <v>149</v>
      </c>
      <c r="D64" s="16"/>
      <c r="E64" s="16">
        <v>11</v>
      </c>
      <c r="F64" s="16">
        <v>839</v>
      </c>
      <c r="G64" s="11">
        <f t="shared" si="3"/>
        <v>76.27272727272727</v>
      </c>
    </row>
    <row r="65" spans="1:7" ht="15.75">
      <c r="A65">
        <f t="shared" si="5"/>
        <v>65</v>
      </c>
      <c r="B65" s="5" t="s">
        <v>38</v>
      </c>
      <c r="C65" s="17" t="s">
        <v>147</v>
      </c>
      <c r="D65" s="16"/>
      <c r="E65" s="16">
        <v>11</v>
      </c>
      <c r="F65" s="16">
        <f>743+96</f>
        <v>839</v>
      </c>
      <c r="G65" s="11">
        <f aca="true" t="shared" si="6" ref="G65:G96">F65/E65</f>
        <v>76.27272727272727</v>
      </c>
    </row>
    <row r="66" spans="1:7" ht="15.75">
      <c r="A66">
        <f t="shared" si="5"/>
        <v>66</v>
      </c>
      <c r="B66" s="5" t="s">
        <v>49</v>
      </c>
      <c r="C66" s="17" t="s">
        <v>46</v>
      </c>
      <c r="D66" s="16"/>
      <c r="E66" s="16">
        <v>11</v>
      </c>
      <c r="F66" s="16">
        <f>762+78</f>
        <v>840</v>
      </c>
      <c r="G66" s="11">
        <f t="shared" si="6"/>
        <v>76.36363636363636</v>
      </c>
    </row>
    <row r="67" spans="1:7" ht="15.75">
      <c r="A67">
        <f aca="true" t="shared" si="7" ref="A67:A82">A66+1</f>
        <v>67</v>
      </c>
      <c r="B67" s="5" t="s">
        <v>24</v>
      </c>
      <c r="C67" s="17" t="s">
        <v>87</v>
      </c>
      <c r="D67" s="16"/>
      <c r="E67" s="16">
        <v>11</v>
      </c>
      <c r="F67" s="16">
        <f>735+107</f>
        <v>842</v>
      </c>
      <c r="G67" s="11">
        <f t="shared" si="6"/>
        <v>76.54545454545455</v>
      </c>
    </row>
    <row r="68" spans="1:7" ht="16.5">
      <c r="A68">
        <f t="shared" si="7"/>
        <v>68</v>
      </c>
      <c r="B68" s="5" t="s">
        <v>28</v>
      </c>
      <c r="C68" s="20" t="s">
        <v>80</v>
      </c>
      <c r="D68" s="16"/>
      <c r="E68" s="16">
        <v>11</v>
      </c>
      <c r="F68" s="16">
        <f>763+80</f>
        <v>843</v>
      </c>
      <c r="G68" s="11">
        <f t="shared" si="6"/>
        <v>76.63636363636364</v>
      </c>
    </row>
    <row r="69" spans="1:7" ht="15.75">
      <c r="A69">
        <f t="shared" si="7"/>
        <v>69</v>
      </c>
      <c r="B69" s="5" t="s">
        <v>32</v>
      </c>
      <c r="C69" s="17" t="s">
        <v>73</v>
      </c>
      <c r="D69" s="16"/>
      <c r="E69" s="16">
        <v>11</v>
      </c>
      <c r="F69" s="16">
        <f>777+67</f>
        <v>844</v>
      </c>
      <c r="G69" s="11">
        <f t="shared" si="6"/>
        <v>76.72727272727273</v>
      </c>
    </row>
    <row r="70" spans="1:7" ht="16.5">
      <c r="A70">
        <f t="shared" si="7"/>
        <v>70</v>
      </c>
      <c r="B70" s="5" t="s">
        <v>44</v>
      </c>
      <c r="C70" s="20" t="s">
        <v>132</v>
      </c>
      <c r="D70" s="16"/>
      <c r="E70" s="16">
        <v>11</v>
      </c>
      <c r="F70" s="16">
        <f>777+73</f>
        <v>850</v>
      </c>
      <c r="G70" s="11">
        <f t="shared" si="6"/>
        <v>77.27272727272727</v>
      </c>
    </row>
    <row r="71" spans="1:7" ht="15.75">
      <c r="A71">
        <f t="shared" si="7"/>
        <v>71</v>
      </c>
      <c r="B71" s="5" t="s">
        <v>49</v>
      </c>
      <c r="C71" s="17" t="s">
        <v>165</v>
      </c>
      <c r="D71" s="16"/>
      <c r="E71" s="16">
        <v>11</v>
      </c>
      <c r="F71" s="16">
        <f>757+95</f>
        <v>852</v>
      </c>
      <c r="G71" s="11">
        <f t="shared" si="6"/>
        <v>77.45454545454545</v>
      </c>
    </row>
    <row r="72" spans="1:7" ht="17.25" thickBot="1">
      <c r="A72" s="12">
        <f t="shared" si="7"/>
        <v>72</v>
      </c>
      <c r="B72" s="5" t="s">
        <v>36</v>
      </c>
      <c r="C72" s="20" t="s">
        <v>161</v>
      </c>
      <c r="D72" s="16"/>
      <c r="E72" s="16">
        <v>11</v>
      </c>
      <c r="F72" s="16">
        <f>755+99</f>
        <v>854</v>
      </c>
      <c r="G72" s="11">
        <f t="shared" si="6"/>
        <v>77.63636363636364</v>
      </c>
    </row>
    <row r="73" spans="1:7" ht="15.75">
      <c r="A73">
        <f t="shared" si="7"/>
        <v>73</v>
      </c>
      <c r="B73" s="5" t="s">
        <v>24</v>
      </c>
      <c r="C73" s="17" t="s">
        <v>84</v>
      </c>
      <c r="D73" s="16"/>
      <c r="E73" s="16">
        <v>11</v>
      </c>
      <c r="F73" s="16">
        <f>779+76</f>
        <v>855</v>
      </c>
      <c r="G73" s="11">
        <f t="shared" si="6"/>
        <v>77.72727272727273</v>
      </c>
    </row>
    <row r="74" spans="1:7" ht="16.5">
      <c r="A74">
        <f t="shared" si="7"/>
        <v>74</v>
      </c>
      <c r="B74" s="5" t="s">
        <v>40</v>
      </c>
      <c r="C74" s="20" t="s">
        <v>142</v>
      </c>
      <c r="D74" s="16"/>
      <c r="E74" s="16">
        <v>11</v>
      </c>
      <c r="F74" s="16">
        <f>769+88</f>
        <v>857</v>
      </c>
      <c r="G74" s="11">
        <f t="shared" si="6"/>
        <v>77.9090909090909</v>
      </c>
    </row>
    <row r="75" spans="1:7" ht="15.75">
      <c r="A75">
        <f t="shared" si="7"/>
        <v>75</v>
      </c>
      <c r="B75" s="5" t="s">
        <v>50</v>
      </c>
      <c r="C75" s="17" t="s">
        <v>118</v>
      </c>
      <c r="D75" s="16"/>
      <c r="E75" s="16">
        <v>11</v>
      </c>
      <c r="F75" s="16">
        <f>777+81</f>
        <v>858</v>
      </c>
      <c r="G75" s="11">
        <f t="shared" si="6"/>
        <v>78</v>
      </c>
    </row>
    <row r="76" spans="1:7" ht="15.75">
      <c r="A76">
        <f t="shared" si="7"/>
        <v>76</v>
      </c>
      <c r="B76" s="5" t="s">
        <v>38</v>
      </c>
      <c r="C76" s="17" t="s">
        <v>151</v>
      </c>
      <c r="D76" s="16"/>
      <c r="E76" s="16">
        <v>11</v>
      </c>
      <c r="F76" s="16">
        <f>776+84</f>
        <v>860</v>
      </c>
      <c r="G76" s="11">
        <f t="shared" si="6"/>
        <v>78.18181818181819</v>
      </c>
    </row>
    <row r="77" spans="1:7" ht="15.75">
      <c r="A77">
        <f t="shared" si="7"/>
        <v>77</v>
      </c>
      <c r="B77" s="5" t="s">
        <v>49</v>
      </c>
      <c r="C77" s="17" t="s">
        <v>47</v>
      </c>
      <c r="D77" s="16"/>
      <c r="E77" s="16">
        <v>11</v>
      </c>
      <c r="F77" s="16">
        <f>785+75</f>
        <v>860</v>
      </c>
      <c r="G77" s="11">
        <f t="shared" si="6"/>
        <v>78.18181818181819</v>
      </c>
    </row>
    <row r="78" spans="1:7" ht="15.75">
      <c r="A78">
        <f t="shared" si="7"/>
        <v>78</v>
      </c>
      <c r="B78" s="5" t="s">
        <v>49</v>
      </c>
      <c r="C78" s="19" t="s">
        <v>123</v>
      </c>
      <c r="D78" s="16"/>
      <c r="E78" s="16">
        <v>11</v>
      </c>
      <c r="F78" s="16">
        <f>783+79</f>
        <v>862</v>
      </c>
      <c r="G78" s="11">
        <f t="shared" si="6"/>
        <v>78.36363636363636</v>
      </c>
    </row>
    <row r="79" spans="1:7" ht="15.75">
      <c r="A79">
        <f t="shared" si="7"/>
        <v>79</v>
      </c>
      <c r="B79" s="5" t="s">
        <v>44</v>
      </c>
      <c r="C79" s="17" t="s">
        <v>130</v>
      </c>
      <c r="D79" s="16"/>
      <c r="E79" s="16">
        <v>11</v>
      </c>
      <c r="F79" s="16">
        <f>791+72</f>
        <v>863</v>
      </c>
      <c r="G79" s="11">
        <f t="shared" si="6"/>
        <v>78.45454545454545</v>
      </c>
    </row>
    <row r="80" spans="1:7" ht="15.75">
      <c r="A80">
        <f t="shared" si="7"/>
        <v>80</v>
      </c>
      <c r="B80" s="5" t="s">
        <v>32</v>
      </c>
      <c r="C80" s="17" t="s">
        <v>62</v>
      </c>
      <c r="D80" s="16"/>
      <c r="E80" s="16">
        <v>11</v>
      </c>
      <c r="F80" s="16">
        <f>776+89</f>
        <v>865</v>
      </c>
      <c r="G80" s="11">
        <f t="shared" si="6"/>
        <v>78.63636363636364</v>
      </c>
    </row>
    <row r="81" spans="1:7" ht="15.75">
      <c r="A81">
        <f t="shared" si="7"/>
        <v>81</v>
      </c>
      <c r="B81" s="5" t="s">
        <v>21</v>
      </c>
      <c r="C81" s="17" t="s">
        <v>96</v>
      </c>
      <c r="D81" s="16"/>
      <c r="E81" s="16">
        <v>11</v>
      </c>
      <c r="F81" s="16">
        <f>788+80</f>
        <v>868</v>
      </c>
      <c r="G81" s="11">
        <f t="shared" si="6"/>
        <v>78.9090909090909</v>
      </c>
    </row>
    <row r="82" spans="1:7" ht="15.75">
      <c r="A82">
        <f t="shared" si="7"/>
        <v>82</v>
      </c>
      <c r="B82" s="5" t="s">
        <v>49</v>
      </c>
      <c r="C82" s="17" t="s">
        <v>125</v>
      </c>
      <c r="D82" s="16"/>
      <c r="E82" s="16">
        <v>11</v>
      </c>
      <c r="F82" s="16">
        <f>787+81</f>
        <v>868</v>
      </c>
      <c r="G82" s="11">
        <f t="shared" si="6"/>
        <v>78.9090909090909</v>
      </c>
    </row>
    <row r="83" spans="1:7" ht="15.75">
      <c r="A83">
        <f aca="true" t="shared" si="8" ref="A83:A98">A82+1</f>
        <v>83</v>
      </c>
      <c r="B83" s="5" t="s">
        <v>49</v>
      </c>
      <c r="C83" s="17" t="s">
        <v>124</v>
      </c>
      <c r="D83" s="16"/>
      <c r="E83" s="16">
        <v>11</v>
      </c>
      <c r="F83" s="16">
        <f>781+89</f>
        <v>870</v>
      </c>
      <c r="G83" s="11">
        <f t="shared" si="6"/>
        <v>79.0909090909091</v>
      </c>
    </row>
    <row r="84" spans="1:7" ht="16.5">
      <c r="A84">
        <f t="shared" si="8"/>
        <v>84</v>
      </c>
      <c r="B84" s="5" t="s">
        <v>50</v>
      </c>
      <c r="C84" s="20" t="s">
        <v>119</v>
      </c>
      <c r="D84" s="16"/>
      <c r="E84" s="16">
        <v>11</v>
      </c>
      <c r="F84" s="16">
        <f>780+90</f>
        <v>870</v>
      </c>
      <c r="G84" s="11">
        <f t="shared" si="6"/>
        <v>79.0909090909091</v>
      </c>
    </row>
    <row r="85" spans="1:7" ht="15.75">
      <c r="A85">
        <f t="shared" si="8"/>
        <v>85</v>
      </c>
      <c r="B85" s="5" t="s">
        <v>28</v>
      </c>
      <c r="C85" s="17" t="s">
        <v>23</v>
      </c>
      <c r="D85" s="16"/>
      <c r="E85" s="16">
        <v>11</v>
      </c>
      <c r="F85" s="16">
        <f>789+82</f>
        <v>871</v>
      </c>
      <c r="G85" s="11">
        <f t="shared" si="6"/>
        <v>79.18181818181819</v>
      </c>
    </row>
    <row r="86" spans="1:7" ht="16.5">
      <c r="A86">
        <f t="shared" si="8"/>
        <v>86</v>
      </c>
      <c r="B86" s="5" t="s">
        <v>24</v>
      </c>
      <c r="C86" s="20" t="s">
        <v>89</v>
      </c>
      <c r="D86" s="16"/>
      <c r="E86" s="16">
        <v>11</v>
      </c>
      <c r="F86" s="16">
        <v>873</v>
      </c>
      <c r="G86" s="11">
        <f t="shared" si="6"/>
        <v>79.36363636363636</v>
      </c>
    </row>
    <row r="87" spans="1:7" ht="15.75">
      <c r="A87">
        <f t="shared" si="8"/>
        <v>87</v>
      </c>
      <c r="B87" s="5" t="s">
        <v>28</v>
      </c>
      <c r="C87" s="17" t="s">
        <v>27</v>
      </c>
      <c r="D87" s="16"/>
      <c r="E87" s="16">
        <v>11</v>
      </c>
      <c r="F87" s="16">
        <f>802+71</f>
        <v>873</v>
      </c>
      <c r="G87" s="11">
        <f t="shared" si="6"/>
        <v>79.36363636363636</v>
      </c>
    </row>
    <row r="88" spans="1:7" ht="15.75">
      <c r="A88">
        <f t="shared" si="8"/>
        <v>88</v>
      </c>
      <c r="B88" s="5" t="s">
        <v>50</v>
      </c>
      <c r="C88" s="17" t="s">
        <v>120</v>
      </c>
      <c r="D88" s="16"/>
      <c r="E88" s="16">
        <v>11</v>
      </c>
      <c r="F88" s="16">
        <f>804+71</f>
        <v>875</v>
      </c>
      <c r="G88" s="11">
        <f t="shared" si="6"/>
        <v>79.54545454545455</v>
      </c>
    </row>
    <row r="89" spans="1:7" ht="16.5">
      <c r="A89">
        <f t="shared" si="8"/>
        <v>89</v>
      </c>
      <c r="B89" s="5" t="s">
        <v>17</v>
      </c>
      <c r="C89" s="28" t="s">
        <v>70</v>
      </c>
      <c r="D89" s="26"/>
      <c r="E89" s="26">
        <v>11</v>
      </c>
      <c r="F89" s="26">
        <f>820+56</f>
        <v>876</v>
      </c>
      <c r="G89" s="11">
        <f t="shared" si="6"/>
        <v>79.63636363636364</v>
      </c>
    </row>
    <row r="90" spans="1:7" ht="16.5">
      <c r="A90">
        <f t="shared" si="8"/>
        <v>90</v>
      </c>
      <c r="B90" s="5" t="s">
        <v>36</v>
      </c>
      <c r="C90" s="20" t="s">
        <v>41</v>
      </c>
      <c r="D90" s="16"/>
      <c r="E90" s="16">
        <v>11</v>
      </c>
      <c r="F90" s="16">
        <f>811+65</f>
        <v>876</v>
      </c>
      <c r="G90" s="11">
        <f t="shared" si="6"/>
        <v>79.63636363636364</v>
      </c>
    </row>
    <row r="91" spans="1:7" ht="15.75">
      <c r="A91">
        <f t="shared" si="8"/>
        <v>91</v>
      </c>
      <c r="B91" s="5" t="s">
        <v>44</v>
      </c>
      <c r="C91" s="17" t="s">
        <v>136</v>
      </c>
      <c r="D91" s="16"/>
      <c r="E91" s="16">
        <v>11</v>
      </c>
      <c r="F91" s="16">
        <f>793+83</f>
        <v>876</v>
      </c>
      <c r="G91" s="11">
        <f t="shared" si="6"/>
        <v>79.63636363636364</v>
      </c>
    </row>
    <row r="92" spans="1:7" ht="15.75">
      <c r="A92">
        <f t="shared" si="8"/>
        <v>92</v>
      </c>
      <c r="B92" s="5" t="s">
        <v>36</v>
      </c>
      <c r="C92" s="17" t="s">
        <v>156</v>
      </c>
      <c r="D92" s="16"/>
      <c r="E92" s="16">
        <v>11</v>
      </c>
      <c r="F92" s="16">
        <f>798+80</f>
        <v>878</v>
      </c>
      <c r="G92" s="11">
        <f t="shared" si="6"/>
        <v>79.81818181818181</v>
      </c>
    </row>
    <row r="93" spans="1:7" ht="15.75">
      <c r="A93">
        <f t="shared" si="8"/>
        <v>93</v>
      </c>
      <c r="B93" s="5" t="s">
        <v>24</v>
      </c>
      <c r="C93" s="17" t="s">
        <v>83</v>
      </c>
      <c r="D93" s="16"/>
      <c r="E93" s="16">
        <v>11</v>
      </c>
      <c r="F93" s="16">
        <f>799+81</f>
        <v>880</v>
      </c>
      <c r="G93" s="11">
        <f t="shared" si="6"/>
        <v>80</v>
      </c>
    </row>
    <row r="94" spans="1:7" ht="15.75">
      <c r="A94">
        <f t="shared" si="8"/>
        <v>94</v>
      </c>
      <c r="B94" s="5" t="s">
        <v>40</v>
      </c>
      <c r="C94" s="17" t="s">
        <v>141</v>
      </c>
      <c r="D94" s="16"/>
      <c r="E94" s="16">
        <v>11</v>
      </c>
      <c r="F94" s="16">
        <f>804+77</f>
        <v>881</v>
      </c>
      <c r="G94" s="11">
        <f t="shared" si="6"/>
        <v>80.0909090909091</v>
      </c>
    </row>
    <row r="95" spans="1:7" ht="15.75">
      <c r="A95">
        <f t="shared" si="8"/>
        <v>95</v>
      </c>
      <c r="B95" s="5" t="s">
        <v>38</v>
      </c>
      <c r="C95" s="17" t="s">
        <v>153</v>
      </c>
      <c r="D95" s="16"/>
      <c r="E95" s="16">
        <v>11</v>
      </c>
      <c r="F95" s="16">
        <f>795+87</f>
        <v>882</v>
      </c>
      <c r="G95" s="11">
        <f t="shared" si="6"/>
        <v>80.18181818181819</v>
      </c>
    </row>
    <row r="96" spans="1:7" ht="15.75">
      <c r="A96">
        <f t="shared" si="8"/>
        <v>96</v>
      </c>
      <c r="B96" s="5" t="s">
        <v>10</v>
      </c>
      <c r="C96" s="17" t="s">
        <v>111</v>
      </c>
      <c r="D96" s="16"/>
      <c r="E96" s="16">
        <v>11</v>
      </c>
      <c r="F96" s="16">
        <f>811+72</f>
        <v>883</v>
      </c>
      <c r="G96" s="11">
        <f t="shared" si="6"/>
        <v>80.27272727272727</v>
      </c>
    </row>
    <row r="97" spans="1:7" ht="15.75">
      <c r="A97">
        <f t="shared" si="8"/>
        <v>97</v>
      </c>
      <c r="B97" s="5" t="s">
        <v>17</v>
      </c>
      <c r="C97" s="25" t="s">
        <v>103</v>
      </c>
      <c r="D97" s="26"/>
      <c r="E97" s="26">
        <v>11</v>
      </c>
      <c r="F97" s="26">
        <f>809+74</f>
        <v>883</v>
      </c>
      <c r="G97" s="11">
        <f aca="true" t="shared" si="9" ref="G97:G128">F97/E97</f>
        <v>80.27272727272727</v>
      </c>
    </row>
    <row r="98" spans="1:7" ht="15.75">
      <c r="A98">
        <f t="shared" si="8"/>
        <v>98</v>
      </c>
      <c r="B98" s="5" t="s">
        <v>44</v>
      </c>
      <c r="C98" s="17" t="s">
        <v>131</v>
      </c>
      <c r="D98" s="16"/>
      <c r="E98" s="16">
        <v>11</v>
      </c>
      <c r="F98" s="16">
        <f>791+93</f>
        <v>884</v>
      </c>
      <c r="G98" s="11">
        <f t="shared" si="9"/>
        <v>80.36363636363636</v>
      </c>
    </row>
    <row r="99" spans="1:7" ht="16.5">
      <c r="A99">
        <f aca="true" t="shared" si="10" ref="A99:A114">A98+1</f>
        <v>99</v>
      </c>
      <c r="B99" s="5" t="s">
        <v>40</v>
      </c>
      <c r="C99" s="21" t="s">
        <v>145</v>
      </c>
      <c r="D99" s="16"/>
      <c r="E99" s="16">
        <v>11</v>
      </c>
      <c r="F99" s="16">
        <v>887</v>
      </c>
      <c r="G99" s="11">
        <f t="shared" si="9"/>
        <v>80.63636363636364</v>
      </c>
    </row>
    <row r="100" spans="1:7" ht="15.75">
      <c r="A100">
        <f t="shared" si="10"/>
        <v>100</v>
      </c>
      <c r="B100" s="5" t="s">
        <v>17</v>
      </c>
      <c r="C100" s="25" t="s">
        <v>105</v>
      </c>
      <c r="D100" s="26"/>
      <c r="E100" s="26">
        <v>11</v>
      </c>
      <c r="F100" s="26">
        <f>810+79</f>
        <v>889</v>
      </c>
      <c r="G100" s="11">
        <f t="shared" si="9"/>
        <v>80.81818181818181</v>
      </c>
    </row>
    <row r="101" spans="1:7" ht="16.5">
      <c r="A101">
        <f t="shared" si="10"/>
        <v>101</v>
      </c>
      <c r="B101" s="5" t="s">
        <v>38</v>
      </c>
      <c r="C101" s="21" t="s">
        <v>154</v>
      </c>
      <c r="D101" s="16"/>
      <c r="E101" s="16">
        <v>11</v>
      </c>
      <c r="F101" s="16">
        <f>793+97</f>
        <v>890</v>
      </c>
      <c r="G101" s="11">
        <f t="shared" si="9"/>
        <v>80.9090909090909</v>
      </c>
    </row>
    <row r="102" spans="1:7" ht="16.5">
      <c r="A102">
        <f t="shared" si="10"/>
        <v>102</v>
      </c>
      <c r="B102" s="5" t="s">
        <v>50</v>
      </c>
      <c r="C102" s="20" t="s">
        <v>121</v>
      </c>
      <c r="D102" s="16"/>
      <c r="E102" s="16">
        <v>11</v>
      </c>
      <c r="F102" s="16">
        <f>775+116</f>
        <v>891</v>
      </c>
      <c r="G102" s="11">
        <f t="shared" si="9"/>
        <v>81</v>
      </c>
    </row>
    <row r="103" spans="1:7" ht="15.75">
      <c r="A103">
        <f t="shared" si="10"/>
        <v>103</v>
      </c>
      <c r="B103" s="5" t="s">
        <v>38</v>
      </c>
      <c r="C103" s="17" t="s">
        <v>150</v>
      </c>
      <c r="D103" s="16"/>
      <c r="E103" s="16">
        <v>11</v>
      </c>
      <c r="F103" s="16">
        <f>812+81</f>
        <v>893</v>
      </c>
      <c r="G103" s="11">
        <f t="shared" si="9"/>
        <v>81.18181818181819</v>
      </c>
    </row>
    <row r="104" spans="1:7" ht="16.5">
      <c r="A104">
        <f t="shared" si="10"/>
        <v>104</v>
      </c>
      <c r="B104" s="5" t="s">
        <v>10</v>
      </c>
      <c r="C104" s="20" t="s">
        <v>112</v>
      </c>
      <c r="D104" s="16"/>
      <c r="E104" s="16">
        <v>11</v>
      </c>
      <c r="F104" s="16">
        <f>815+79</f>
        <v>894</v>
      </c>
      <c r="G104" s="11">
        <f t="shared" si="9"/>
        <v>81.27272727272727</v>
      </c>
    </row>
    <row r="105" spans="1:7" ht="15.75">
      <c r="A105">
        <f t="shared" si="10"/>
        <v>105</v>
      </c>
      <c r="B105" s="5" t="s">
        <v>21</v>
      </c>
      <c r="C105" s="17" t="s">
        <v>99</v>
      </c>
      <c r="D105" s="16"/>
      <c r="E105" s="16">
        <v>11</v>
      </c>
      <c r="F105" s="16">
        <f>788+106</f>
        <v>894</v>
      </c>
      <c r="G105" s="11">
        <f t="shared" si="9"/>
        <v>81.27272727272727</v>
      </c>
    </row>
    <row r="106" spans="1:7" ht="16.5">
      <c r="A106">
        <f t="shared" si="10"/>
        <v>106</v>
      </c>
      <c r="B106" s="5" t="s">
        <v>38</v>
      </c>
      <c r="C106" s="20" t="s">
        <v>152</v>
      </c>
      <c r="D106" s="16"/>
      <c r="E106" s="16">
        <v>11</v>
      </c>
      <c r="F106" s="16">
        <f>808+88</f>
        <v>896</v>
      </c>
      <c r="G106" s="11">
        <f t="shared" si="9"/>
        <v>81.45454545454545</v>
      </c>
    </row>
    <row r="107" spans="1:7" ht="15.75">
      <c r="A107">
        <f t="shared" si="10"/>
        <v>107</v>
      </c>
      <c r="B107" s="5" t="s">
        <v>44</v>
      </c>
      <c r="C107" s="17" t="s">
        <v>129</v>
      </c>
      <c r="D107" s="16"/>
      <c r="E107" s="16">
        <v>11</v>
      </c>
      <c r="F107" s="16">
        <f>784+112</f>
        <v>896</v>
      </c>
      <c r="G107" s="11">
        <f t="shared" si="9"/>
        <v>81.45454545454545</v>
      </c>
    </row>
    <row r="108" spans="1:7" ht="15.75">
      <c r="A108">
        <f t="shared" si="10"/>
        <v>108</v>
      </c>
      <c r="B108" s="5" t="s">
        <v>10</v>
      </c>
      <c r="C108" s="17" t="s">
        <v>108</v>
      </c>
      <c r="D108" s="16"/>
      <c r="E108" s="16">
        <v>11</v>
      </c>
      <c r="F108" s="16">
        <f>843+54</f>
        <v>897</v>
      </c>
      <c r="G108" s="11">
        <f t="shared" si="9"/>
        <v>81.54545454545455</v>
      </c>
    </row>
    <row r="109" spans="1:7" ht="16.5">
      <c r="A109">
        <f t="shared" si="10"/>
        <v>109</v>
      </c>
      <c r="B109" s="5" t="s">
        <v>24</v>
      </c>
      <c r="C109" s="21" t="s">
        <v>91</v>
      </c>
      <c r="D109" s="16"/>
      <c r="E109" s="16">
        <v>11</v>
      </c>
      <c r="F109" s="16">
        <f>824+75</f>
        <v>899</v>
      </c>
      <c r="G109" s="11">
        <f t="shared" si="9"/>
        <v>81.72727272727273</v>
      </c>
    </row>
    <row r="110" spans="1:7" ht="16.5">
      <c r="A110">
        <f t="shared" si="10"/>
        <v>110</v>
      </c>
      <c r="B110" s="5" t="s">
        <v>17</v>
      </c>
      <c r="C110" s="29" t="s">
        <v>107</v>
      </c>
      <c r="D110" s="26"/>
      <c r="E110" s="26">
        <v>11</v>
      </c>
      <c r="F110" s="26">
        <f>833+72</f>
        <v>905</v>
      </c>
      <c r="G110" s="11">
        <f t="shared" si="9"/>
        <v>82.27272727272727</v>
      </c>
    </row>
    <row r="111" spans="1:7" ht="16.5">
      <c r="A111">
        <f t="shared" si="10"/>
        <v>111</v>
      </c>
      <c r="B111" s="5" t="s">
        <v>32</v>
      </c>
      <c r="C111" s="20" t="s">
        <v>78</v>
      </c>
      <c r="D111" s="16"/>
      <c r="E111" s="16">
        <v>11</v>
      </c>
      <c r="F111" s="16">
        <f>835+70</f>
        <v>905</v>
      </c>
      <c r="G111" s="11">
        <f t="shared" si="9"/>
        <v>82.27272727272727</v>
      </c>
    </row>
    <row r="112" spans="1:7" ht="16.5">
      <c r="A112">
        <f t="shared" si="10"/>
        <v>112</v>
      </c>
      <c r="B112" s="5" t="s">
        <v>49</v>
      </c>
      <c r="C112" s="20" t="s">
        <v>166</v>
      </c>
      <c r="D112" s="16"/>
      <c r="E112" s="16">
        <v>11</v>
      </c>
      <c r="F112" s="16">
        <f>811+96</f>
        <v>907</v>
      </c>
      <c r="G112" s="11">
        <f t="shared" si="9"/>
        <v>82.45454545454545</v>
      </c>
    </row>
    <row r="113" spans="1:7" ht="15.75">
      <c r="A113">
        <f>A112+1</f>
        <v>113</v>
      </c>
      <c r="B113" s="5" t="s">
        <v>10</v>
      </c>
      <c r="C113" s="17" t="s">
        <v>15</v>
      </c>
      <c r="D113" s="16"/>
      <c r="E113" s="16">
        <v>11</v>
      </c>
      <c r="F113" s="16">
        <f>827+84</f>
        <v>911</v>
      </c>
      <c r="G113" s="11">
        <f t="shared" si="9"/>
        <v>82.81818181818181</v>
      </c>
    </row>
    <row r="114" spans="1:7" ht="15.75">
      <c r="A114">
        <f t="shared" si="10"/>
        <v>114</v>
      </c>
      <c r="B114" s="5" t="s">
        <v>32</v>
      </c>
      <c r="C114" s="17" t="s">
        <v>75</v>
      </c>
      <c r="D114" s="16"/>
      <c r="E114" s="16">
        <v>11</v>
      </c>
      <c r="F114" s="16">
        <f>842+73</f>
        <v>915</v>
      </c>
      <c r="G114" s="11">
        <f t="shared" si="9"/>
        <v>83.18181818181819</v>
      </c>
    </row>
    <row r="115" spans="1:7" ht="15.75">
      <c r="A115">
        <f aca="true" t="shared" si="11" ref="A115:A130">A114+1</f>
        <v>115</v>
      </c>
      <c r="B115" s="5" t="s">
        <v>32</v>
      </c>
      <c r="C115" s="17" t="s">
        <v>74</v>
      </c>
      <c r="D115" s="16"/>
      <c r="E115" s="16">
        <v>11</v>
      </c>
      <c r="F115" s="16">
        <f>853+64</f>
        <v>917</v>
      </c>
      <c r="G115" s="11">
        <f t="shared" si="9"/>
        <v>83.36363636363636</v>
      </c>
    </row>
    <row r="116" spans="1:7" ht="16.5">
      <c r="A116">
        <f t="shared" si="11"/>
        <v>116</v>
      </c>
      <c r="B116" s="5" t="s">
        <v>28</v>
      </c>
      <c r="C116" s="20" t="s">
        <v>81</v>
      </c>
      <c r="D116" s="16"/>
      <c r="E116" s="16">
        <v>11</v>
      </c>
      <c r="F116" s="16">
        <f>836+83</f>
        <v>919</v>
      </c>
      <c r="G116" s="11">
        <f t="shared" si="9"/>
        <v>83.54545454545455</v>
      </c>
    </row>
    <row r="117" spans="1:7" ht="15.75">
      <c r="A117">
        <f t="shared" si="11"/>
        <v>117</v>
      </c>
      <c r="B117" s="5" t="s">
        <v>36</v>
      </c>
      <c r="C117" s="17" t="s">
        <v>162</v>
      </c>
      <c r="D117" s="16"/>
      <c r="E117" s="16">
        <v>11</v>
      </c>
      <c r="F117" s="16">
        <f>846+73</f>
        <v>919</v>
      </c>
      <c r="G117" s="11">
        <f t="shared" si="9"/>
        <v>83.54545454545455</v>
      </c>
    </row>
    <row r="118" spans="1:7" ht="15.75">
      <c r="A118">
        <f t="shared" si="11"/>
        <v>118</v>
      </c>
      <c r="B118" s="5" t="s">
        <v>17</v>
      </c>
      <c r="C118" s="25" t="s">
        <v>106</v>
      </c>
      <c r="D118" s="26"/>
      <c r="E118" s="26">
        <v>11</v>
      </c>
      <c r="F118" s="26">
        <f>839+81</f>
        <v>920</v>
      </c>
      <c r="G118" s="11">
        <f t="shared" si="9"/>
        <v>83.63636363636364</v>
      </c>
    </row>
    <row r="119" spans="1:7" ht="15.75">
      <c r="A119">
        <f t="shared" si="11"/>
        <v>119</v>
      </c>
      <c r="B119" s="5" t="s">
        <v>40</v>
      </c>
      <c r="C119" s="17" t="s">
        <v>37</v>
      </c>
      <c r="D119" s="16"/>
      <c r="E119" s="16">
        <v>11</v>
      </c>
      <c r="F119" s="16">
        <f>841+80</f>
        <v>921</v>
      </c>
      <c r="G119" s="11">
        <f t="shared" si="9"/>
        <v>83.72727272727273</v>
      </c>
    </row>
    <row r="120" spans="1:7" ht="15.75">
      <c r="A120">
        <f t="shared" si="11"/>
        <v>120</v>
      </c>
      <c r="B120" s="5" t="s">
        <v>28</v>
      </c>
      <c r="C120" s="17" t="s">
        <v>34</v>
      </c>
      <c r="D120" s="16"/>
      <c r="E120" s="16">
        <v>11</v>
      </c>
      <c r="F120" s="16">
        <f>848+75</f>
        <v>923</v>
      </c>
      <c r="G120" s="11">
        <f t="shared" si="9"/>
        <v>83.9090909090909</v>
      </c>
    </row>
    <row r="121" spans="1:7" ht="15.75">
      <c r="A121">
        <f t="shared" si="11"/>
        <v>121</v>
      </c>
      <c r="B121" s="5" t="s">
        <v>44</v>
      </c>
      <c r="C121" s="17" t="s">
        <v>45</v>
      </c>
      <c r="D121" s="16"/>
      <c r="E121" s="16">
        <v>11</v>
      </c>
      <c r="F121" s="16">
        <f>846+81</f>
        <v>927</v>
      </c>
      <c r="G121" s="11">
        <f t="shared" si="9"/>
        <v>84.27272727272727</v>
      </c>
    </row>
    <row r="122" spans="1:7" ht="15.75">
      <c r="A122">
        <f t="shared" si="11"/>
        <v>122</v>
      </c>
      <c r="B122" s="5" t="s">
        <v>10</v>
      </c>
      <c r="C122" s="17" t="s">
        <v>57</v>
      </c>
      <c r="D122" s="16"/>
      <c r="E122" s="16">
        <v>11</v>
      </c>
      <c r="F122" s="16">
        <f>856+76</f>
        <v>932</v>
      </c>
      <c r="G122" s="11">
        <f t="shared" si="9"/>
        <v>84.72727272727273</v>
      </c>
    </row>
    <row r="123" spans="1:7" ht="15.75">
      <c r="A123">
        <f t="shared" si="11"/>
        <v>123</v>
      </c>
      <c r="B123" s="5" t="s">
        <v>10</v>
      </c>
      <c r="C123" s="17" t="s">
        <v>12</v>
      </c>
      <c r="D123" s="16"/>
      <c r="E123" s="16">
        <v>11</v>
      </c>
      <c r="F123" s="16">
        <f>853+83</f>
        <v>936</v>
      </c>
      <c r="G123" s="11">
        <f t="shared" si="9"/>
        <v>85.0909090909091</v>
      </c>
    </row>
    <row r="124" spans="1:7" ht="16.5">
      <c r="A124">
        <f t="shared" si="11"/>
        <v>124</v>
      </c>
      <c r="B124" s="5" t="s">
        <v>21</v>
      </c>
      <c r="C124" s="20" t="s">
        <v>25</v>
      </c>
      <c r="D124" s="16"/>
      <c r="E124" s="16">
        <v>11</v>
      </c>
      <c r="F124" s="16">
        <v>936</v>
      </c>
      <c r="G124" s="11">
        <f t="shared" si="9"/>
        <v>85.0909090909091</v>
      </c>
    </row>
    <row r="125" spans="1:7" ht="16.5">
      <c r="A125">
        <f t="shared" si="11"/>
        <v>125</v>
      </c>
      <c r="B125" s="5" t="s">
        <v>32</v>
      </c>
      <c r="C125" s="20" t="s">
        <v>76</v>
      </c>
      <c r="D125" s="16"/>
      <c r="E125" s="16">
        <v>11</v>
      </c>
      <c r="F125" s="16">
        <f>860+76</f>
        <v>936</v>
      </c>
      <c r="G125" s="11">
        <f t="shared" si="9"/>
        <v>85.0909090909091</v>
      </c>
    </row>
    <row r="126" spans="1:7" ht="16.5">
      <c r="A126">
        <f t="shared" si="11"/>
        <v>126</v>
      </c>
      <c r="B126" s="5" t="s">
        <v>10</v>
      </c>
      <c r="C126" s="21" t="s">
        <v>113</v>
      </c>
      <c r="D126" s="16"/>
      <c r="E126" s="16">
        <v>11</v>
      </c>
      <c r="F126" s="16">
        <f>851+87</f>
        <v>938</v>
      </c>
      <c r="G126" s="11">
        <f t="shared" si="9"/>
        <v>85.27272727272727</v>
      </c>
    </row>
    <row r="127" spans="1:7" ht="16.5">
      <c r="A127">
        <f t="shared" si="11"/>
        <v>127</v>
      </c>
      <c r="B127" s="5" t="s">
        <v>32</v>
      </c>
      <c r="C127" s="21" t="s">
        <v>77</v>
      </c>
      <c r="D127" s="16"/>
      <c r="E127" s="16">
        <v>11</v>
      </c>
      <c r="F127" s="16">
        <v>940</v>
      </c>
      <c r="G127" s="11">
        <f t="shared" si="9"/>
        <v>85.45454545454545</v>
      </c>
    </row>
    <row r="128" spans="1:7" ht="15.75">
      <c r="A128">
        <f t="shared" si="11"/>
        <v>128</v>
      </c>
      <c r="B128" s="5" t="s">
        <v>49</v>
      </c>
      <c r="C128" s="17" t="s">
        <v>126</v>
      </c>
      <c r="D128" s="16"/>
      <c r="E128" s="16">
        <v>11</v>
      </c>
      <c r="F128" s="16">
        <f>864+79</f>
        <v>943</v>
      </c>
      <c r="G128" s="11">
        <f t="shared" si="9"/>
        <v>85.72727272727273</v>
      </c>
    </row>
    <row r="129" spans="1:7" ht="15.75">
      <c r="A129">
        <f t="shared" si="11"/>
        <v>129</v>
      </c>
      <c r="B129" s="5" t="s">
        <v>40</v>
      </c>
      <c r="C129" s="17" t="s">
        <v>65</v>
      </c>
      <c r="D129" s="16"/>
      <c r="E129" s="16">
        <v>11</v>
      </c>
      <c r="F129" s="16">
        <f>855+92</f>
        <v>947</v>
      </c>
      <c r="G129" s="11">
        <f aca="true" t="shared" si="12" ref="G129:G144">F129/E129</f>
        <v>86.0909090909091</v>
      </c>
    </row>
    <row r="130" spans="1:7" ht="15.75">
      <c r="A130">
        <f t="shared" si="11"/>
        <v>130</v>
      </c>
      <c r="B130" s="5" t="s">
        <v>28</v>
      </c>
      <c r="C130" s="17" t="s">
        <v>35</v>
      </c>
      <c r="D130" s="16"/>
      <c r="E130" s="16">
        <v>11</v>
      </c>
      <c r="F130" s="16">
        <f>849+101</f>
        <v>950</v>
      </c>
      <c r="G130" s="11">
        <f t="shared" si="12"/>
        <v>86.36363636363636</v>
      </c>
    </row>
    <row r="131" spans="1:7" ht="16.5">
      <c r="A131">
        <f aca="true" t="shared" si="13" ref="A131:A144">A130+1</f>
        <v>131</v>
      </c>
      <c r="B131" s="5" t="s">
        <v>10</v>
      </c>
      <c r="C131" s="20" t="s">
        <v>14</v>
      </c>
      <c r="D131" s="16"/>
      <c r="E131" s="16">
        <v>11</v>
      </c>
      <c r="F131" s="16">
        <f>844+108</f>
        <v>952</v>
      </c>
      <c r="G131" s="11">
        <f t="shared" si="12"/>
        <v>86.54545454545455</v>
      </c>
    </row>
    <row r="132" spans="1:7" ht="15.75">
      <c r="A132">
        <f t="shared" si="13"/>
        <v>132</v>
      </c>
      <c r="B132" s="5" t="s">
        <v>24</v>
      </c>
      <c r="C132" s="17" t="s">
        <v>92</v>
      </c>
      <c r="D132" s="16"/>
      <c r="E132" s="16">
        <v>11</v>
      </c>
      <c r="F132" s="16">
        <f>868+85</f>
        <v>953</v>
      </c>
      <c r="G132" s="11">
        <f t="shared" si="12"/>
        <v>86.63636363636364</v>
      </c>
    </row>
    <row r="133" spans="1:7" ht="15.75">
      <c r="A133">
        <f t="shared" si="13"/>
        <v>133</v>
      </c>
      <c r="B133" s="5" t="s">
        <v>10</v>
      </c>
      <c r="C133" s="17" t="s">
        <v>19</v>
      </c>
      <c r="D133" s="16"/>
      <c r="E133" s="16">
        <v>11</v>
      </c>
      <c r="F133" s="16">
        <f>865+91</f>
        <v>956</v>
      </c>
      <c r="G133" s="11">
        <f t="shared" si="12"/>
        <v>86.9090909090909</v>
      </c>
    </row>
    <row r="134" spans="1:7" ht="15.75">
      <c r="A134">
        <f t="shared" si="13"/>
        <v>134</v>
      </c>
      <c r="B134" s="5" t="s">
        <v>10</v>
      </c>
      <c r="C134" s="17" t="s">
        <v>110</v>
      </c>
      <c r="D134" s="16"/>
      <c r="E134" s="16">
        <v>11</v>
      </c>
      <c r="F134" s="16">
        <f>872+90</f>
        <v>962</v>
      </c>
      <c r="G134" s="11">
        <f t="shared" si="12"/>
        <v>87.45454545454545</v>
      </c>
    </row>
    <row r="135" spans="1:7" ht="16.5">
      <c r="A135">
        <f t="shared" si="13"/>
        <v>135</v>
      </c>
      <c r="B135" s="5" t="s">
        <v>49</v>
      </c>
      <c r="C135" s="31" t="s">
        <v>51</v>
      </c>
      <c r="D135" s="16"/>
      <c r="E135" s="16">
        <v>11</v>
      </c>
      <c r="F135" s="16">
        <f>891+71</f>
        <v>962</v>
      </c>
      <c r="G135" s="11">
        <f t="shared" si="12"/>
        <v>87.45454545454545</v>
      </c>
    </row>
    <row r="136" spans="1:7" ht="15.75">
      <c r="A136">
        <f t="shared" si="13"/>
        <v>136</v>
      </c>
      <c r="B136" s="5" t="s">
        <v>24</v>
      </c>
      <c r="C136" s="17" t="s">
        <v>88</v>
      </c>
      <c r="D136" s="16"/>
      <c r="E136" s="16">
        <v>11</v>
      </c>
      <c r="F136" s="16">
        <f>874+93</f>
        <v>967</v>
      </c>
      <c r="G136" s="11">
        <f t="shared" si="12"/>
        <v>87.9090909090909</v>
      </c>
    </row>
    <row r="137" spans="1:7" ht="15.75">
      <c r="A137">
        <f t="shared" si="13"/>
        <v>137</v>
      </c>
      <c r="B137" s="5" t="s">
        <v>17</v>
      </c>
      <c r="C137" s="25" t="s">
        <v>104</v>
      </c>
      <c r="D137" s="26"/>
      <c r="E137" s="26">
        <v>11</v>
      </c>
      <c r="F137" s="26">
        <f>873+95</f>
        <v>968</v>
      </c>
      <c r="G137" s="11">
        <f t="shared" si="12"/>
        <v>88</v>
      </c>
    </row>
    <row r="138" spans="1:7" ht="16.5">
      <c r="A138">
        <f t="shared" si="13"/>
        <v>138</v>
      </c>
      <c r="B138" s="5" t="s">
        <v>49</v>
      </c>
      <c r="C138" s="21" t="s">
        <v>127</v>
      </c>
      <c r="D138" s="16"/>
      <c r="E138" s="16">
        <v>11</v>
      </c>
      <c r="F138" s="16">
        <f>884+85</f>
        <v>969</v>
      </c>
      <c r="G138" s="11">
        <f t="shared" si="12"/>
        <v>88.0909090909091</v>
      </c>
    </row>
    <row r="139" spans="1:7" ht="16.5">
      <c r="A139">
        <f t="shared" si="13"/>
        <v>139</v>
      </c>
      <c r="B139" s="5" t="s">
        <v>36</v>
      </c>
      <c r="C139" s="21" t="s">
        <v>163</v>
      </c>
      <c r="D139" s="16"/>
      <c r="E139" s="16">
        <v>11</v>
      </c>
      <c r="F139" s="16">
        <f>878+93</f>
        <v>971</v>
      </c>
      <c r="G139" s="11">
        <f t="shared" si="12"/>
        <v>88.27272727272727</v>
      </c>
    </row>
    <row r="140" spans="1:7" ht="16.5">
      <c r="A140">
        <f t="shared" si="13"/>
        <v>140</v>
      </c>
      <c r="B140" s="5" t="s">
        <v>50</v>
      </c>
      <c r="C140" s="21" t="s">
        <v>122</v>
      </c>
      <c r="D140" s="16"/>
      <c r="E140" s="16">
        <v>11</v>
      </c>
      <c r="F140" s="16">
        <f>858+113</f>
        <v>971</v>
      </c>
      <c r="G140" s="11">
        <f t="shared" si="12"/>
        <v>88.27272727272727</v>
      </c>
    </row>
    <row r="141" spans="1:7" ht="15.75">
      <c r="A141">
        <f t="shared" si="13"/>
        <v>141</v>
      </c>
      <c r="B141" s="5" t="s">
        <v>49</v>
      </c>
      <c r="C141" s="17" t="s">
        <v>68</v>
      </c>
      <c r="D141" s="16"/>
      <c r="E141" s="16">
        <v>11</v>
      </c>
      <c r="F141" s="16">
        <f>863+110</f>
        <v>973</v>
      </c>
      <c r="G141" s="11">
        <f t="shared" si="12"/>
        <v>88.45454545454545</v>
      </c>
    </row>
    <row r="142" spans="1:7" ht="16.5">
      <c r="A142">
        <f t="shared" si="13"/>
        <v>142</v>
      </c>
      <c r="B142" s="5" t="s">
        <v>38</v>
      </c>
      <c r="C142" s="20" t="s">
        <v>155</v>
      </c>
      <c r="D142" s="16"/>
      <c r="E142" s="16">
        <v>11</v>
      </c>
      <c r="F142" s="16">
        <v>979</v>
      </c>
      <c r="G142" s="11">
        <f t="shared" si="12"/>
        <v>89</v>
      </c>
    </row>
    <row r="143" spans="1:7" ht="16.5">
      <c r="A143">
        <f t="shared" si="13"/>
        <v>143</v>
      </c>
      <c r="B143" s="5" t="s">
        <v>44</v>
      </c>
      <c r="C143" s="21" t="s">
        <v>134</v>
      </c>
      <c r="D143" s="16"/>
      <c r="E143" s="16">
        <v>11</v>
      </c>
      <c r="F143" s="16">
        <f>918+80</f>
        <v>998</v>
      </c>
      <c r="G143" s="11">
        <f t="shared" si="12"/>
        <v>90.72727272727273</v>
      </c>
    </row>
    <row r="144" spans="1:7" ht="16.5">
      <c r="A144">
        <f t="shared" si="13"/>
        <v>144</v>
      </c>
      <c r="B144" s="5" t="s">
        <v>21</v>
      </c>
      <c r="C144" s="21" t="s">
        <v>101</v>
      </c>
      <c r="D144" s="16"/>
      <c r="E144" s="16">
        <v>11</v>
      </c>
      <c r="F144" s="16">
        <f>944+89</f>
        <v>1033</v>
      </c>
      <c r="G144" s="11">
        <f t="shared" si="12"/>
        <v>93.9090909090909</v>
      </c>
    </row>
    <row r="145" spans="2:7" ht="15.75">
      <c r="B145" s="5"/>
      <c r="D145" s="16"/>
      <c r="E145" s="3"/>
      <c r="F145" s="3"/>
      <c r="G145" s="11"/>
    </row>
    <row r="146" spans="2:7" ht="15.75">
      <c r="B146" s="5"/>
      <c r="D146" s="16"/>
      <c r="E146" s="3"/>
      <c r="F146" s="3"/>
      <c r="G146" s="11"/>
    </row>
    <row r="147" spans="2:7" ht="15.75">
      <c r="B147" s="5"/>
      <c r="D147" s="16"/>
      <c r="E147" s="3"/>
      <c r="F147" s="3"/>
      <c r="G147" s="11"/>
    </row>
    <row r="148" spans="2:7" ht="15.75">
      <c r="B148" s="5"/>
      <c r="D148" s="16"/>
      <c r="E148" s="3"/>
      <c r="F148" s="3"/>
      <c r="G148" s="11"/>
    </row>
    <row r="149" spans="2:7" ht="15.75">
      <c r="B149" s="5"/>
      <c r="D149" s="16"/>
      <c r="E149" s="3"/>
      <c r="F149" s="3"/>
      <c r="G149" s="11"/>
    </row>
    <row r="150" spans="2:7" ht="15.75">
      <c r="B150" s="5"/>
      <c r="D150" s="16"/>
      <c r="E150" s="3"/>
      <c r="F150" s="3"/>
      <c r="G150" s="11"/>
    </row>
    <row r="151" spans="2:7" ht="15.75">
      <c r="B151" s="5"/>
      <c r="D151" s="16"/>
      <c r="E151" s="3"/>
      <c r="F151" s="3"/>
      <c r="G151" s="11"/>
    </row>
    <row r="152" spans="2:7" ht="15.75">
      <c r="B152" s="5"/>
      <c r="D152" s="16"/>
      <c r="E152" s="3"/>
      <c r="F152" s="3"/>
      <c r="G152" s="11"/>
    </row>
    <row r="153" spans="2:7" ht="15.75">
      <c r="B153" s="5"/>
      <c r="D153" s="16"/>
      <c r="E153" s="3"/>
      <c r="F153" s="3"/>
      <c r="G153" s="11"/>
    </row>
    <row r="154" spans="2:7" ht="15.75">
      <c r="B154" s="5"/>
      <c r="D154" s="16"/>
      <c r="E154" s="3"/>
      <c r="F154" s="3"/>
      <c r="G154" s="11"/>
    </row>
    <row r="155" spans="2:7" ht="15.75">
      <c r="B155" s="5"/>
      <c r="D155" s="16"/>
      <c r="E155" s="3"/>
      <c r="F155" s="3"/>
      <c r="G155" s="11"/>
    </row>
  </sheetData>
  <printOptions gridLines="1" horizontalCentered="1"/>
  <pageMargins left="0.7874015748031497" right="0.7874015748031497" top="0.45" bottom="0.85" header="0.1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17.625" style="0" customWidth="1"/>
    <col min="4" max="4" width="1.75390625" style="0" customWidth="1"/>
    <col min="5" max="7" width="4.875" style="0" bestFit="1" customWidth="1"/>
    <col min="8" max="8" width="4.50390625" style="0" bestFit="1" customWidth="1"/>
  </cols>
  <sheetData>
    <row r="1" spans="1:8" ht="15.75">
      <c r="A1">
        <v>1</v>
      </c>
      <c r="B1" s="5" t="s">
        <v>10</v>
      </c>
      <c r="C1" s="19" t="s">
        <v>11</v>
      </c>
      <c r="D1" s="16"/>
      <c r="E1" s="16">
        <v>11</v>
      </c>
      <c r="F1" s="16">
        <f>867+91</f>
        <v>958</v>
      </c>
      <c r="G1" s="16">
        <f>633+71</f>
        <v>704</v>
      </c>
      <c r="H1" s="4">
        <f aca="true" t="shared" si="0" ref="H1:H13">F1-G1</f>
        <v>254</v>
      </c>
    </row>
    <row r="2" spans="1:8" ht="15.75">
      <c r="A2">
        <f aca="true" t="shared" si="1" ref="A2:A34">A1+1</f>
        <v>2</v>
      </c>
      <c r="B2" s="5" t="s">
        <v>21</v>
      </c>
      <c r="C2" s="14" t="s">
        <v>13</v>
      </c>
      <c r="D2" s="16"/>
      <c r="E2" s="16">
        <v>11</v>
      </c>
      <c r="F2" s="16">
        <f>872+88</f>
        <v>960</v>
      </c>
      <c r="G2" s="16">
        <f>685+69</f>
        <v>754</v>
      </c>
      <c r="H2" s="4">
        <f t="shared" si="0"/>
        <v>206</v>
      </c>
    </row>
    <row r="3" spans="1:8" ht="15.75">
      <c r="A3">
        <f t="shared" si="1"/>
        <v>3</v>
      </c>
      <c r="B3" s="5" t="s">
        <v>21</v>
      </c>
      <c r="C3" s="19" t="s">
        <v>93</v>
      </c>
      <c r="D3" s="16"/>
      <c r="E3" s="16">
        <v>11</v>
      </c>
      <c r="F3" s="16">
        <v>957</v>
      </c>
      <c r="G3" s="16">
        <f>685+74</f>
        <v>759</v>
      </c>
      <c r="H3" s="4">
        <f t="shared" si="0"/>
        <v>198</v>
      </c>
    </row>
    <row r="4" spans="1:8" ht="15.75">
      <c r="A4">
        <f t="shared" si="1"/>
        <v>4</v>
      </c>
      <c r="B4" s="5" t="s">
        <v>44</v>
      </c>
      <c r="C4" s="19" t="s">
        <v>64</v>
      </c>
      <c r="D4" s="16"/>
      <c r="E4" s="16">
        <v>11</v>
      </c>
      <c r="F4" s="16">
        <f>902+89</f>
        <v>991</v>
      </c>
      <c r="G4" s="16">
        <f>727+85</f>
        <v>812</v>
      </c>
      <c r="H4" s="4">
        <f t="shared" si="0"/>
        <v>179</v>
      </c>
    </row>
    <row r="5" spans="1:8" ht="15.75">
      <c r="A5">
        <f t="shared" si="1"/>
        <v>5</v>
      </c>
      <c r="B5" s="5" t="s">
        <v>49</v>
      </c>
      <c r="C5" s="17" t="s">
        <v>164</v>
      </c>
      <c r="D5" s="16"/>
      <c r="E5" s="16">
        <v>11</v>
      </c>
      <c r="F5" s="16">
        <f>890+89</f>
        <v>979</v>
      </c>
      <c r="G5" s="16">
        <f>739+62</f>
        <v>801</v>
      </c>
      <c r="H5" s="4">
        <f t="shared" si="0"/>
        <v>178</v>
      </c>
    </row>
    <row r="6" spans="1:8" ht="15.75">
      <c r="A6">
        <f t="shared" si="1"/>
        <v>6</v>
      </c>
      <c r="B6" s="5" t="s">
        <v>24</v>
      </c>
      <c r="C6" s="19" t="s">
        <v>30</v>
      </c>
      <c r="D6" s="16"/>
      <c r="E6" s="16">
        <v>11</v>
      </c>
      <c r="F6" s="16">
        <f>795+74</f>
        <v>869</v>
      </c>
      <c r="G6" s="16">
        <f>632+64</f>
        <v>696</v>
      </c>
      <c r="H6" s="4">
        <f t="shared" si="0"/>
        <v>173</v>
      </c>
    </row>
    <row r="7" spans="1:8" ht="15.75">
      <c r="A7">
        <f t="shared" si="1"/>
        <v>7</v>
      </c>
      <c r="B7" s="5" t="s">
        <v>44</v>
      </c>
      <c r="C7" s="17" t="s">
        <v>128</v>
      </c>
      <c r="D7" s="16"/>
      <c r="E7" s="16">
        <v>11</v>
      </c>
      <c r="F7" s="16">
        <f>863+85</f>
        <v>948</v>
      </c>
      <c r="G7" s="16">
        <f>697+89</f>
        <v>786</v>
      </c>
      <c r="H7" s="4">
        <f t="shared" si="0"/>
        <v>162</v>
      </c>
    </row>
    <row r="8" spans="1:8" ht="15.75">
      <c r="A8">
        <f t="shared" si="1"/>
        <v>8</v>
      </c>
      <c r="B8" s="5" t="s">
        <v>36</v>
      </c>
      <c r="C8" s="17" t="s">
        <v>29</v>
      </c>
      <c r="D8" s="16"/>
      <c r="E8" s="16">
        <v>11</v>
      </c>
      <c r="F8" s="16">
        <f>786+80</f>
        <v>866</v>
      </c>
      <c r="G8" s="16">
        <f>653+59</f>
        <v>712</v>
      </c>
      <c r="H8" s="4">
        <f t="shared" si="0"/>
        <v>154</v>
      </c>
    </row>
    <row r="9" spans="1:8" ht="15.75">
      <c r="A9">
        <f t="shared" si="1"/>
        <v>9</v>
      </c>
      <c r="B9" s="5" t="s">
        <v>10</v>
      </c>
      <c r="C9" s="17" t="s">
        <v>12</v>
      </c>
      <c r="D9" s="16"/>
      <c r="E9" s="16">
        <v>11</v>
      </c>
      <c r="F9" s="16">
        <f>976+108</f>
        <v>1084</v>
      </c>
      <c r="G9" s="16">
        <f>853+83</f>
        <v>936</v>
      </c>
      <c r="H9" s="4">
        <f t="shared" si="0"/>
        <v>148</v>
      </c>
    </row>
    <row r="10" spans="1:8" ht="15.75">
      <c r="A10">
        <f t="shared" si="1"/>
        <v>10</v>
      </c>
      <c r="B10" s="5" t="s">
        <v>36</v>
      </c>
      <c r="C10" s="17" t="s">
        <v>61</v>
      </c>
      <c r="D10" s="16"/>
      <c r="E10" s="16">
        <v>11</v>
      </c>
      <c r="F10" s="16">
        <f>858+99</f>
        <v>957</v>
      </c>
      <c r="G10" s="16">
        <f>730+83</f>
        <v>813</v>
      </c>
      <c r="H10" s="4">
        <f t="shared" si="0"/>
        <v>144</v>
      </c>
    </row>
    <row r="11" spans="1:8" ht="15.75">
      <c r="A11">
        <f t="shared" si="1"/>
        <v>11</v>
      </c>
      <c r="B11" s="5" t="s">
        <v>32</v>
      </c>
      <c r="C11" s="17" t="s">
        <v>72</v>
      </c>
      <c r="D11" s="16"/>
      <c r="E11" s="16">
        <v>11</v>
      </c>
      <c r="F11" s="16">
        <f>826+70</f>
        <v>896</v>
      </c>
      <c r="G11" s="16">
        <f>681+73</f>
        <v>754</v>
      </c>
      <c r="H11" s="4">
        <f t="shared" si="0"/>
        <v>142</v>
      </c>
    </row>
    <row r="12" spans="1:8" ht="15.75">
      <c r="A12">
        <f t="shared" si="1"/>
        <v>12</v>
      </c>
      <c r="B12" s="5" t="s">
        <v>50</v>
      </c>
      <c r="C12" s="17" t="s">
        <v>114</v>
      </c>
      <c r="D12" s="16"/>
      <c r="E12" s="16">
        <v>11</v>
      </c>
      <c r="F12" s="16">
        <f>869+60</f>
        <v>929</v>
      </c>
      <c r="G12" s="16">
        <f>719+72</f>
        <v>791</v>
      </c>
      <c r="H12" s="4">
        <f t="shared" si="0"/>
        <v>138</v>
      </c>
    </row>
    <row r="13" spans="1:8" ht="15.75">
      <c r="A13">
        <f t="shared" si="1"/>
        <v>13</v>
      </c>
      <c r="B13" s="5" t="s">
        <v>38</v>
      </c>
      <c r="C13" s="17" t="s">
        <v>66</v>
      </c>
      <c r="D13" s="16"/>
      <c r="E13" s="16">
        <v>11</v>
      </c>
      <c r="F13" s="16">
        <f>828+87</f>
        <v>915</v>
      </c>
      <c r="G13" s="16">
        <f>715+64</f>
        <v>779</v>
      </c>
      <c r="H13" s="4">
        <f t="shared" si="0"/>
        <v>136</v>
      </c>
    </row>
    <row r="14" spans="1:8" ht="15.75">
      <c r="A14">
        <f t="shared" si="1"/>
        <v>14</v>
      </c>
      <c r="B14" s="5" t="s">
        <v>28</v>
      </c>
      <c r="C14" s="19" t="s">
        <v>58</v>
      </c>
      <c r="D14" s="16"/>
      <c r="E14" s="16">
        <v>11</v>
      </c>
      <c r="F14" s="16">
        <f>747+101</f>
        <v>848</v>
      </c>
      <c r="G14" s="16">
        <f>653+60</f>
        <v>713</v>
      </c>
      <c r="H14" s="4">
        <f aca="true" t="shared" si="2" ref="H14:H25">F14-G14</f>
        <v>135</v>
      </c>
    </row>
    <row r="15" spans="1:8" ht="15.75">
      <c r="A15">
        <f t="shared" si="1"/>
        <v>15</v>
      </c>
      <c r="B15" s="5" t="s">
        <v>50</v>
      </c>
      <c r="C15" s="19" t="s">
        <v>115</v>
      </c>
      <c r="D15" s="16"/>
      <c r="E15" s="16">
        <v>11</v>
      </c>
      <c r="F15" s="16">
        <f>799+72</f>
        <v>871</v>
      </c>
      <c r="G15" s="16">
        <f>678+60</f>
        <v>738</v>
      </c>
      <c r="H15" s="4">
        <f t="shared" si="2"/>
        <v>133</v>
      </c>
    </row>
    <row r="16" spans="1:8" ht="15.75">
      <c r="A16">
        <f t="shared" si="1"/>
        <v>16</v>
      </c>
      <c r="B16" s="5" t="s">
        <v>36</v>
      </c>
      <c r="C16" s="19" t="s">
        <v>157</v>
      </c>
      <c r="D16" s="16"/>
      <c r="E16" s="16">
        <v>11</v>
      </c>
      <c r="F16" s="16">
        <f>872+82</f>
        <v>954</v>
      </c>
      <c r="G16" s="16">
        <f>749+76</f>
        <v>825</v>
      </c>
      <c r="H16" s="4">
        <f t="shared" si="2"/>
        <v>129</v>
      </c>
    </row>
    <row r="17" spans="1:8" ht="15.75">
      <c r="A17">
        <f t="shared" si="1"/>
        <v>17</v>
      </c>
      <c r="B17" s="5" t="s">
        <v>38</v>
      </c>
      <c r="C17" s="17" t="s">
        <v>146</v>
      </c>
      <c r="D17" s="16"/>
      <c r="E17" s="16">
        <v>11</v>
      </c>
      <c r="F17" s="16">
        <f>820+58</f>
        <v>878</v>
      </c>
      <c r="G17" s="16">
        <f>683+67</f>
        <v>750</v>
      </c>
      <c r="H17" s="4">
        <f t="shared" si="2"/>
        <v>128</v>
      </c>
    </row>
    <row r="18" spans="1:8" ht="15.75">
      <c r="A18">
        <f t="shared" si="1"/>
        <v>18</v>
      </c>
      <c r="B18" s="5" t="s">
        <v>32</v>
      </c>
      <c r="C18" s="17" t="s">
        <v>62</v>
      </c>
      <c r="D18" s="16"/>
      <c r="E18" s="16">
        <v>11</v>
      </c>
      <c r="F18" s="16">
        <f>907+83</f>
        <v>990</v>
      </c>
      <c r="G18" s="16">
        <f>776+89</f>
        <v>865</v>
      </c>
      <c r="H18" s="4">
        <f t="shared" si="2"/>
        <v>125</v>
      </c>
    </row>
    <row r="19" spans="1:8" ht="15.75">
      <c r="A19">
        <f t="shared" si="1"/>
        <v>19</v>
      </c>
      <c r="B19" s="5" t="s">
        <v>17</v>
      </c>
      <c r="C19" s="25" t="s">
        <v>102</v>
      </c>
      <c r="D19" s="26"/>
      <c r="E19" s="26">
        <v>11</v>
      </c>
      <c r="F19" s="26">
        <f>773+74</f>
        <v>847</v>
      </c>
      <c r="G19" s="26">
        <f>667+56</f>
        <v>723</v>
      </c>
      <c r="H19" s="4">
        <f t="shared" si="2"/>
        <v>124</v>
      </c>
    </row>
    <row r="20" spans="1:8" ht="15.75">
      <c r="A20">
        <f t="shared" si="1"/>
        <v>20</v>
      </c>
      <c r="B20" s="5" t="s">
        <v>40</v>
      </c>
      <c r="C20" s="19" t="s">
        <v>137</v>
      </c>
      <c r="D20" s="16"/>
      <c r="E20" s="16">
        <v>11</v>
      </c>
      <c r="F20" s="16">
        <f>823+64</f>
        <v>887</v>
      </c>
      <c r="G20" s="16">
        <f>693+70</f>
        <v>763</v>
      </c>
      <c r="H20" s="4">
        <f t="shared" si="2"/>
        <v>124</v>
      </c>
    </row>
    <row r="21" spans="1:8" ht="15.75">
      <c r="A21">
        <f t="shared" si="1"/>
        <v>21</v>
      </c>
      <c r="B21" s="5" t="s">
        <v>17</v>
      </c>
      <c r="C21" s="25" t="s">
        <v>56</v>
      </c>
      <c r="D21" s="26"/>
      <c r="E21" s="26">
        <v>11</v>
      </c>
      <c r="F21" s="26">
        <f>839+74</f>
        <v>913</v>
      </c>
      <c r="G21" s="26">
        <f>705+85</f>
        <v>790</v>
      </c>
      <c r="H21" s="4">
        <f t="shared" si="2"/>
        <v>123</v>
      </c>
    </row>
    <row r="22" spans="1:8" ht="15.75">
      <c r="A22">
        <f t="shared" si="1"/>
        <v>22</v>
      </c>
      <c r="B22" s="5" t="s">
        <v>17</v>
      </c>
      <c r="C22" s="27" t="s">
        <v>55</v>
      </c>
      <c r="D22" s="26"/>
      <c r="E22" s="26">
        <v>11</v>
      </c>
      <c r="F22" s="26">
        <f>797+108</f>
        <v>905</v>
      </c>
      <c r="G22" s="26">
        <f>685+98</f>
        <v>783</v>
      </c>
      <c r="H22" s="4">
        <f t="shared" si="2"/>
        <v>122</v>
      </c>
    </row>
    <row r="23" spans="1:8" ht="15.75">
      <c r="A23">
        <f t="shared" si="1"/>
        <v>23</v>
      </c>
      <c r="B23" s="5" t="s">
        <v>36</v>
      </c>
      <c r="C23" s="17" t="s">
        <v>158</v>
      </c>
      <c r="D23" s="16"/>
      <c r="E23" s="16">
        <v>11</v>
      </c>
      <c r="F23" s="16">
        <f>822+88</f>
        <v>910</v>
      </c>
      <c r="G23" s="16">
        <f>708+83</f>
        <v>791</v>
      </c>
      <c r="H23" s="4">
        <f t="shared" si="2"/>
        <v>119</v>
      </c>
    </row>
    <row r="24" spans="1:8" ht="15.75">
      <c r="A24">
        <f t="shared" si="1"/>
        <v>24</v>
      </c>
      <c r="B24" s="5" t="s">
        <v>17</v>
      </c>
      <c r="C24" s="25" t="s">
        <v>16</v>
      </c>
      <c r="D24" s="26"/>
      <c r="E24" s="26">
        <v>11</v>
      </c>
      <c r="F24" s="26">
        <f>825+98</f>
        <v>923</v>
      </c>
      <c r="G24" s="26">
        <f>701+108</f>
        <v>809</v>
      </c>
      <c r="H24" s="4">
        <f t="shared" si="2"/>
        <v>114</v>
      </c>
    </row>
    <row r="25" spans="1:8" ht="15.75">
      <c r="A25">
        <f t="shared" si="1"/>
        <v>25</v>
      </c>
      <c r="B25" s="5" t="s">
        <v>49</v>
      </c>
      <c r="C25" s="17" t="s">
        <v>46</v>
      </c>
      <c r="D25" s="16"/>
      <c r="E25" s="16">
        <v>11</v>
      </c>
      <c r="F25" s="16">
        <f>873+81</f>
        <v>954</v>
      </c>
      <c r="G25" s="16">
        <f>762+78</f>
        <v>840</v>
      </c>
      <c r="H25" s="4">
        <f t="shared" si="2"/>
        <v>114</v>
      </c>
    </row>
    <row r="26" spans="1:8" ht="15.75">
      <c r="A26">
        <f t="shared" si="1"/>
        <v>26</v>
      </c>
      <c r="B26" s="5" t="s">
        <v>28</v>
      </c>
      <c r="C26" s="17" t="s">
        <v>33</v>
      </c>
      <c r="D26" s="16"/>
      <c r="E26" s="16">
        <v>11</v>
      </c>
      <c r="F26" s="16">
        <f>805+76</f>
        <v>881</v>
      </c>
      <c r="G26" s="16">
        <f>705+66</f>
        <v>771</v>
      </c>
      <c r="H26" s="4">
        <f>F26-G26</f>
        <v>110</v>
      </c>
    </row>
    <row r="27" spans="1:8" ht="15.75">
      <c r="A27">
        <f t="shared" si="1"/>
        <v>27</v>
      </c>
      <c r="B27" s="5" t="s">
        <v>21</v>
      </c>
      <c r="C27" s="17" t="s">
        <v>95</v>
      </c>
      <c r="D27" s="16"/>
      <c r="E27" s="16">
        <v>11</v>
      </c>
      <c r="F27" s="16">
        <v>920</v>
      </c>
      <c r="G27" s="16">
        <f>732+85</f>
        <v>817</v>
      </c>
      <c r="H27" s="4">
        <f aca="true" t="shared" si="3" ref="H27:H38">F27-G27</f>
        <v>103</v>
      </c>
    </row>
    <row r="28" spans="1:8" ht="15.75">
      <c r="A28">
        <f t="shared" si="1"/>
        <v>28</v>
      </c>
      <c r="B28" s="5" t="s">
        <v>50</v>
      </c>
      <c r="C28" s="17" t="s">
        <v>117</v>
      </c>
      <c r="D28" s="16"/>
      <c r="E28" s="16">
        <v>11</v>
      </c>
      <c r="F28" s="16">
        <f>818+116</f>
        <v>934</v>
      </c>
      <c r="G28" s="16">
        <f>754+78</f>
        <v>832</v>
      </c>
      <c r="H28" s="4">
        <f t="shared" si="3"/>
        <v>102</v>
      </c>
    </row>
    <row r="29" spans="1:8" ht="15.75">
      <c r="A29">
        <f t="shared" si="1"/>
        <v>29</v>
      </c>
      <c r="B29" s="5" t="s">
        <v>40</v>
      </c>
      <c r="C29" s="17" t="s">
        <v>139</v>
      </c>
      <c r="D29" s="16"/>
      <c r="E29" s="16">
        <v>11</v>
      </c>
      <c r="F29" s="16">
        <v>918</v>
      </c>
      <c r="G29" s="16">
        <v>818</v>
      </c>
      <c r="H29" s="4">
        <f t="shared" si="3"/>
        <v>100</v>
      </c>
    </row>
    <row r="30" spans="1:8" ht="15.75">
      <c r="A30">
        <f t="shared" si="1"/>
        <v>30</v>
      </c>
      <c r="B30" s="5" t="s">
        <v>24</v>
      </c>
      <c r="C30" s="17" t="s">
        <v>86</v>
      </c>
      <c r="D30" s="16"/>
      <c r="E30" s="16">
        <v>11</v>
      </c>
      <c r="F30" s="16">
        <f>753+107</f>
        <v>860</v>
      </c>
      <c r="G30" s="16">
        <f>693+69</f>
        <v>762</v>
      </c>
      <c r="H30" s="4">
        <f t="shared" si="3"/>
        <v>98</v>
      </c>
    </row>
    <row r="31" spans="1:8" ht="15.75">
      <c r="A31">
        <f t="shared" si="1"/>
        <v>31</v>
      </c>
      <c r="B31" s="5" t="s">
        <v>49</v>
      </c>
      <c r="C31" s="19" t="s">
        <v>123</v>
      </c>
      <c r="D31" s="16"/>
      <c r="E31" s="16">
        <v>11</v>
      </c>
      <c r="F31" s="16">
        <f>858+96</f>
        <v>954</v>
      </c>
      <c r="G31" s="16">
        <f>783+79</f>
        <v>862</v>
      </c>
      <c r="H31" s="4">
        <f t="shared" si="3"/>
        <v>92</v>
      </c>
    </row>
    <row r="32" spans="1:8" ht="15.75">
      <c r="A32">
        <f t="shared" si="1"/>
        <v>32</v>
      </c>
      <c r="B32" s="5" t="s">
        <v>24</v>
      </c>
      <c r="C32" s="17" t="s">
        <v>59</v>
      </c>
      <c r="D32" s="16"/>
      <c r="E32" s="16">
        <v>11</v>
      </c>
      <c r="F32" s="16">
        <f>768+93</f>
        <v>861</v>
      </c>
      <c r="G32" s="16">
        <f>697+73</f>
        <v>770</v>
      </c>
      <c r="H32" s="4">
        <f t="shared" si="3"/>
        <v>91</v>
      </c>
    </row>
    <row r="33" spans="1:8" ht="15.75">
      <c r="A33">
        <f t="shared" si="1"/>
        <v>33</v>
      </c>
      <c r="B33" s="5" t="s">
        <v>32</v>
      </c>
      <c r="C33" s="19" t="s">
        <v>71</v>
      </c>
      <c r="D33" s="16"/>
      <c r="E33" s="16">
        <v>11</v>
      </c>
      <c r="F33" s="16">
        <f>834+89</f>
        <v>923</v>
      </c>
      <c r="G33" s="16">
        <f>751+83</f>
        <v>834</v>
      </c>
      <c r="H33" s="4">
        <f t="shared" si="3"/>
        <v>89</v>
      </c>
    </row>
    <row r="34" spans="1:8" ht="15.75">
      <c r="A34">
        <f t="shared" si="1"/>
        <v>34</v>
      </c>
      <c r="B34" s="5" t="s">
        <v>49</v>
      </c>
      <c r="C34" s="17" t="s">
        <v>165</v>
      </c>
      <c r="D34" s="16"/>
      <c r="E34" s="16">
        <v>11</v>
      </c>
      <c r="F34" s="16">
        <f>831+110</f>
        <v>941</v>
      </c>
      <c r="G34" s="16">
        <f>757+95</f>
        <v>852</v>
      </c>
      <c r="H34" s="4">
        <f t="shared" si="3"/>
        <v>89</v>
      </c>
    </row>
    <row r="35" spans="1:8" ht="15.75">
      <c r="A35">
        <f aca="true" t="shared" si="4" ref="A35:A47">A34+1</f>
        <v>35</v>
      </c>
      <c r="B35" s="5" t="s">
        <v>50</v>
      </c>
      <c r="C35" s="17" t="s">
        <v>69</v>
      </c>
      <c r="D35" s="16"/>
      <c r="E35" s="16">
        <v>11</v>
      </c>
      <c r="F35" s="16">
        <f>806+90</f>
        <v>896</v>
      </c>
      <c r="G35" s="16">
        <f>742+68</f>
        <v>810</v>
      </c>
      <c r="H35" s="4">
        <f t="shared" si="3"/>
        <v>86</v>
      </c>
    </row>
    <row r="36" spans="1:8" ht="15.75">
      <c r="A36">
        <f t="shared" si="4"/>
        <v>36</v>
      </c>
      <c r="B36" s="5" t="s">
        <v>32</v>
      </c>
      <c r="C36" s="17" t="s">
        <v>60</v>
      </c>
      <c r="D36" s="16"/>
      <c r="E36" s="16">
        <v>11</v>
      </c>
      <c r="F36" s="16">
        <f>761+73</f>
        <v>834</v>
      </c>
      <c r="G36" s="16">
        <f>677+74</f>
        <v>751</v>
      </c>
      <c r="H36" s="4">
        <f t="shared" si="3"/>
        <v>83</v>
      </c>
    </row>
    <row r="37" spans="1:8" ht="15.75">
      <c r="A37">
        <f t="shared" si="4"/>
        <v>37</v>
      </c>
      <c r="B37" s="5" t="s">
        <v>21</v>
      </c>
      <c r="C37" s="17" t="s">
        <v>94</v>
      </c>
      <c r="D37" s="16"/>
      <c r="E37" s="16">
        <v>11</v>
      </c>
      <c r="F37" s="16">
        <f>838+74</f>
        <v>912</v>
      </c>
      <c r="G37" s="16">
        <v>832</v>
      </c>
      <c r="H37" s="4">
        <f t="shared" si="3"/>
        <v>80</v>
      </c>
    </row>
    <row r="38" spans="1:8" ht="15.75">
      <c r="A38">
        <f>A37+1</f>
        <v>38</v>
      </c>
      <c r="B38" s="5" t="s">
        <v>32</v>
      </c>
      <c r="C38" s="17" t="s">
        <v>63</v>
      </c>
      <c r="D38" s="16"/>
      <c r="E38" s="16">
        <v>11</v>
      </c>
      <c r="F38" s="16">
        <f>729+67</f>
        <v>796</v>
      </c>
      <c r="G38" s="16">
        <f>660+59</f>
        <v>719</v>
      </c>
      <c r="H38" s="4">
        <f t="shared" si="3"/>
        <v>77</v>
      </c>
    </row>
    <row r="39" spans="1:8" ht="15.75">
      <c r="A39">
        <f>A38+1</f>
        <v>39</v>
      </c>
      <c r="B39" s="5" t="s">
        <v>10</v>
      </c>
      <c r="C39" s="17" t="s">
        <v>108</v>
      </c>
      <c r="D39" s="16"/>
      <c r="E39" s="16">
        <v>11</v>
      </c>
      <c r="F39" s="16">
        <f>892+79</f>
        <v>971</v>
      </c>
      <c r="G39" s="16">
        <f>843+54</f>
        <v>897</v>
      </c>
      <c r="H39" s="4">
        <f>F39-G39</f>
        <v>74</v>
      </c>
    </row>
    <row r="40" spans="1:8" ht="15.75">
      <c r="A40">
        <f t="shared" si="4"/>
        <v>40</v>
      </c>
      <c r="B40" s="5" t="s">
        <v>36</v>
      </c>
      <c r="C40" s="17" t="s">
        <v>67</v>
      </c>
      <c r="D40" s="16"/>
      <c r="E40" s="16">
        <v>11</v>
      </c>
      <c r="F40" s="16">
        <f>798+83</f>
        <v>881</v>
      </c>
      <c r="G40" s="16">
        <f>721+88</f>
        <v>809</v>
      </c>
      <c r="H40" s="4">
        <f aca="true" t="shared" si="5" ref="H40:H51">F40-G40</f>
        <v>72</v>
      </c>
    </row>
    <row r="41" spans="1:8" ht="15.75">
      <c r="A41">
        <f t="shared" si="4"/>
        <v>41</v>
      </c>
      <c r="B41" s="5" t="s">
        <v>28</v>
      </c>
      <c r="C41" s="17" t="s">
        <v>79</v>
      </c>
      <c r="D41" s="16"/>
      <c r="E41" s="16">
        <v>11</v>
      </c>
      <c r="F41" s="16">
        <f>843+66</f>
        <v>909</v>
      </c>
      <c r="G41" s="16">
        <f>762+76</f>
        <v>838</v>
      </c>
      <c r="H41" s="4">
        <f t="shared" si="5"/>
        <v>71</v>
      </c>
    </row>
    <row r="42" spans="1:8" ht="15.75">
      <c r="A42">
        <f t="shared" si="4"/>
        <v>42</v>
      </c>
      <c r="B42" s="5" t="s">
        <v>40</v>
      </c>
      <c r="C42" s="17" t="s">
        <v>141</v>
      </c>
      <c r="D42" s="16"/>
      <c r="E42" s="16">
        <v>11</v>
      </c>
      <c r="F42" s="16">
        <f>852+93</f>
        <v>945</v>
      </c>
      <c r="G42" s="16">
        <f>804+77</f>
        <v>881</v>
      </c>
      <c r="H42" s="4">
        <f t="shared" si="5"/>
        <v>64</v>
      </c>
    </row>
    <row r="43" spans="1:8" ht="15.75">
      <c r="A43">
        <f t="shared" si="4"/>
        <v>43</v>
      </c>
      <c r="B43" s="5" t="s">
        <v>24</v>
      </c>
      <c r="C43" s="17" t="s">
        <v>84</v>
      </c>
      <c r="D43" s="16"/>
      <c r="E43" s="16">
        <v>11</v>
      </c>
      <c r="F43" s="16">
        <f>837+81</f>
        <v>918</v>
      </c>
      <c r="G43" s="16">
        <f>779+76</f>
        <v>855</v>
      </c>
      <c r="H43" s="4">
        <f t="shared" si="5"/>
        <v>63</v>
      </c>
    </row>
    <row r="44" spans="1:8" ht="15.75">
      <c r="A44">
        <f t="shared" si="4"/>
        <v>44</v>
      </c>
      <c r="B44" s="5" t="s">
        <v>28</v>
      </c>
      <c r="C44" s="17" t="s">
        <v>27</v>
      </c>
      <c r="D44" s="16"/>
      <c r="E44" s="16">
        <v>11</v>
      </c>
      <c r="F44" s="16">
        <f>854+80</f>
        <v>934</v>
      </c>
      <c r="G44" s="16">
        <f>802+71</f>
        <v>873</v>
      </c>
      <c r="H44" s="4">
        <f t="shared" si="5"/>
        <v>61</v>
      </c>
    </row>
    <row r="45" spans="1:8" ht="15.75">
      <c r="A45">
        <f t="shared" si="4"/>
        <v>45</v>
      </c>
      <c r="B45" s="5" t="s">
        <v>44</v>
      </c>
      <c r="C45" s="17" t="s">
        <v>42</v>
      </c>
      <c r="D45" s="16"/>
      <c r="E45" s="16">
        <v>11</v>
      </c>
      <c r="F45" s="16">
        <f>793+83</f>
        <v>876</v>
      </c>
      <c r="G45" s="16">
        <f>747+71</f>
        <v>818</v>
      </c>
      <c r="H45" s="4">
        <f t="shared" si="5"/>
        <v>58</v>
      </c>
    </row>
    <row r="46" spans="1:8" ht="15.75">
      <c r="A46">
        <f t="shared" si="4"/>
        <v>46</v>
      </c>
      <c r="B46" s="5" t="s">
        <v>36</v>
      </c>
      <c r="C46" s="17" t="s">
        <v>159</v>
      </c>
      <c r="D46" s="16"/>
      <c r="E46" s="16">
        <v>11</v>
      </c>
      <c r="F46" s="16">
        <f>715+76</f>
        <v>791</v>
      </c>
      <c r="G46" s="16">
        <f>653+82</f>
        <v>735</v>
      </c>
      <c r="H46" s="4">
        <f t="shared" si="5"/>
        <v>56</v>
      </c>
    </row>
    <row r="47" spans="1:8" ht="15.75">
      <c r="A47">
        <f t="shared" si="4"/>
        <v>47</v>
      </c>
      <c r="B47" s="5" t="s">
        <v>28</v>
      </c>
      <c r="C47" s="17" t="s">
        <v>82</v>
      </c>
      <c r="D47" s="16"/>
      <c r="E47" s="16">
        <v>11</v>
      </c>
      <c r="F47" s="16">
        <f>796+82</f>
        <v>878</v>
      </c>
      <c r="G47" s="16">
        <f>755+68</f>
        <v>823</v>
      </c>
      <c r="H47" s="4">
        <f t="shared" si="5"/>
        <v>55</v>
      </c>
    </row>
    <row r="48" spans="1:8" ht="15.75">
      <c r="A48">
        <f aca="true" t="shared" si="6" ref="A48:A53">A47+1</f>
        <v>48</v>
      </c>
      <c r="B48" s="5" t="s">
        <v>24</v>
      </c>
      <c r="C48" s="17" t="s">
        <v>83</v>
      </c>
      <c r="D48" s="16"/>
      <c r="E48" s="16">
        <v>11</v>
      </c>
      <c r="F48" s="16">
        <f>858+76</f>
        <v>934</v>
      </c>
      <c r="G48" s="16">
        <f>799+81</f>
        <v>880</v>
      </c>
      <c r="H48" s="4">
        <f t="shared" si="5"/>
        <v>54</v>
      </c>
    </row>
    <row r="49" spans="1:8" ht="15.75">
      <c r="A49">
        <f t="shared" si="6"/>
        <v>49</v>
      </c>
      <c r="B49" s="5" t="s">
        <v>44</v>
      </c>
      <c r="C49" s="17" t="s">
        <v>45</v>
      </c>
      <c r="D49" s="16"/>
      <c r="E49" s="16">
        <v>11</v>
      </c>
      <c r="F49" s="16">
        <f>869+112</f>
        <v>981</v>
      </c>
      <c r="G49" s="16">
        <f>846+81</f>
        <v>927</v>
      </c>
      <c r="H49" s="4">
        <f t="shared" si="5"/>
        <v>54</v>
      </c>
    </row>
    <row r="50" spans="1:8" ht="15.75">
      <c r="A50">
        <f t="shared" si="6"/>
        <v>50</v>
      </c>
      <c r="B50" s="5" t="s">
        <v>40</v>
      </c>
      <c r="C50" s="17" t="s">
        <v>43</v>
      </c>
      <c r="D50" s="16"/>
      <c r="E50" s="16">
        <v>11</v>
      </c>
      <c r="F50" s="16">
        <f>776+77</f>
        <v>853</v>
      </c>
      <c r="G50" s="16">
        <f>715+93</f>
        <v>808</v>
      </c>
      <c r="H50" s="4">
        <f t="shared" si="5"/>
        <v>45</v>
      </c>
    </row>
    <row r="51" spans="1:8" ht="15.75">
      <c r="A51">
        <f t="shared" si="6"/>
        <v>51</v>
      </c>
      <c r="B51" s="5" t="s">
        <v>38</v>
      </c>
      <c r="C51" s="19" t="s">
        <v>148</v>
      </c>
      <c r="D51" s="16"/>
      <c r="E51" s="16">
        <v>11</v>
      </c>
      <c r="F51" s="16">
        <f>715+67</f>
        <v>782</v>
      </c>
      <c r="G51" s="16">
        <f>680+58</f>
        <v>738</v>
      </c>
      <c r="H51" s="4">
        <f t="shared" si="5"/>
        <v>44</v>
      </c>
    </row>
    <row r="52" spans="1:8" ht="15.75">
      <c r="A52">
        <f t="shared" si="6"/>
        <v>52</v>
      </c>
      <c r="B52" s="5" t="s">
        <v>28</v>
      </c>
      <c r="C52" s="17" t="s">
        <v>34</v>
      </c>
      <c r="D52" s="16"/>
      <c r="E52" s="16">
        <v>11</v>
      </c>
      <c r="F52" s="16">
        <f>881+83</f>
        <v>964</v>
      </c>
      <c r="G52" s="16">
        <f>848+75</f>
        <v>923</v>
      </c>
      <c r="H52" s="4">
        <f>F52-G52</f>
        <v>41</v>
      </c>
    </row>
    <row r="53" spans="1:8" ht="15.75">
      <c r="A53">
        <f t="shared" si="6"/>
        <v>53</v>
      </c>
      <c r="B53" s="5" t="s">
        <v>44</v>
      </c>
      <c r="C53" s="17" t="s">
        <v>133</v>
      </c>
      <c r="D53" s="16"/>
      <c r="E53" s="16">
        <v>11</v>
      </c>
      <c r="F53" s="16">
        <f>781+73</f>
        <v>854</v>
      </c>
      <c r="G53" s="16">
        <f>745+68</f>
        <v>813</v>
      </c>
      <c r="H53" s="4">
        <f aca="true" t="shared" si="7" ref="H53:H64">F53-G53</f>
        <v>41</v>
      </c>
    </row>
    <row r="54" spans="1:8" ht="15.75">
      <c r="A54">
        <f aca="true" t="shared" si="8" ref="A54:A61">A53+1</f>
        <v>54</v>
      </c>
      <c r="B54" s="5" t="s">
        <v>50</v>
      </c>
      <c r="C54" s="17" t="s">
        <v>48</v>
      </c>
      <c r="D54" s="16"/>
      <c r="E54" s="16">
        <v>11</v>
      </c>
      <c r="F54" s="16">
        <f>743+71</f>
        <v>814</v>
      </c>
      <c r="G54" s="16">
        <f>714+60</f>
        <v>774</v>
      </c>
      <c r="H54" s="4">
        <f t="shared" si="7"/>
        <v>40</v>
      </c>
    </row>
    <row r="55" spans="1:8" ht="15.75">
      <c r="A55">
        <f t="shared" si="8"/>
        <v>55</v>
      </c>
      <c r="B55" s="5" t="s">
        <v>40</v>
      </c>
      <c r="C55" s="17" t="s">
        <v>138</v>
      </c>
      <c r="D55" s="16"/>
      <c r="E55" s="16">
        <v>11</v>
      </c>
      <c r="F55" s="16">
        <f>778+70</f>
        <v>848</v>
      </c>
      <c r="G55" s="16">
        <f>750+64</f>
        <v>814</v>
      </c>
      <c r="H55" s="4">
        <f t="shared" si="7"/>
        <v>34</v>
      </c>
    </row>
    <row r="56" spans="1:8" ht="15.75">
      <c r="A56">
        <f t="shared" si="8"/>
        <v>56</v>
      </c>
      <c r="B56" s="5" t="s">
        <v>24</v>
      </c>
      <c r="C56" s="17" t="s">
        <v>85</v>
      </c>
      <c r="D56" s="16"/>
      <c r="E56" s="16">
        <v>11</v>
      </c>
      <c r="F56" s="16">
        <f>792+64</f>
        <v>856</v>
      </c>
      <c r="G56" s="16">
        <f>751+74</f>
        <v>825</v>
      </c>
      <c r="H56" s="4">
        <f t="shared" si="7"/>
        <v>31</v>
      </c>
    </row>
    <row r="57" spans="1:8" ht="15.75">
      <c r="A57">
        <f>A56+1</f>
        <v>57</v>
      </c>
      <c r="B57" s="5" t="s">
        <v>44</v>
      </c>
      <c r="C57" s="17" t="s">
        <v>129</v>
      </c>
      <c r="D57" s="16"/>
      <c r="E57" s="16">
        <v>11</v>
      </c>
      <c r="F57" s="16">
        <f>844+81</f>
        <v>925</v>
      </c>
      <c r="G57" s="16">
        <f>784+112</f>
        <v>896</v>
      </c>
      <c r="H57" s="4">
        <f t="shared" si="7"/>
        <v>29</v>
      </c>
    </row>
    <row r="58" spans="1:8" ht="15.75">
      <c r="A58">
        <f>A57+1</f>
        <v>58</v>
      </c>
      <c r="B58" s="5" t="s">
        <v>17</v>
      </c>
      <c r="C58" s="25" t="s">
        <v>18</v>
      </c>
      <c r="D58" s="26"/>
      <c r="E58" s="26">
        <v>11</v>
      </c>
      <c r="F58" s="26">
        <f>773+72</f>
        <v>845</v>
      </c>
      <c r="G58" s="26">
        <f>770+50</f>
        <v>820</v>
      </c>
      <c r="H58" s="4">
        <f t="shared" si="7"/>
        <v>25</v>
      </c>
    </row>
    <row r="59" spans="1:8" ht="15.75">
      <c r="A59">
        <f>A58+1</f>
        <v>59</v>
      </c>
      <c r="B59" s="5" t="s">
        <v>50</v>
      </c>
      <c r="C59" s="17" t="s">
        <v>116</v>
      </c>
      <c r="D59" s="16"/>
      <c r="E59" s="16">
        <v>11</v>
      </c>
      <c r="F59" s="16">
        <f>752+68</f>
        <v>820</v>
      </c>
      <c r="G59" s="16">
        <f>729+69</f>
        <v>798</v>
      </c>
      <c r="H59" s="4">
        <f t="shared" si="7"/>
        <v>22</v>
      </c>
    </row>
    <row r="60" spans="1:8" ht="15.75">
      <c r="A60">
        <f t="shared" si="8"/>
        <v>60</v>
      </c>
      <c r="B60" s="5" t="s">
        <v>10</v>
      </c>
      <c r="C60" s="17" t="s">
        <v>109</v>
      </c>
      <c r="D60" s="16"/>
      <c r="E60" s="16">
        <v>11</v>
      </c>
      <c r="F60" s="16">
        <f>758+87</f>
        <v>845</v>
      </c>
      <c r="G60" s="16">
        <f>756+70</f>
        <v>826</v>
      </c>
      <c r="H60" s="4">
        <f t="shared" si="7"/>
        <v>19</v>
      </c>
    </row>
    <row r="61" spans="1:8" ht="16.5">
      <c r="A61">
        <f t="shared" si="8"/>
        <v>61</v>
      </c>
      <c r="B61" s="5" t="s">
        <v>38</v>
      </c>
      <c r="C61" s="20" t="s">
        <v>152</v>
      </c>
      <c r="D61" s="16"/>
      <c r="E61" s="16">
        <v>11</v>
      </c>
      <c r="F61" s="16">
        <f>812+97</f>
        <v>909</v>
      </c>
      <c r="G61" s="16">
        <f>808+88</f>
        <v>896</v>
      </c>
      <c r="H61" s="4">
        <f t="shared" si="7"/>
        <v>13</v>
      </c>
    </row>
    <row r="62" spans="1:8" ht="15.75">
      <c r="A62">
        <f>A61+1</f>
        <v>62</v>
      </c>
      <c r="B62" s="5" t="s">
        <v>49</v>
      </c>
      <c r="C62" s="17" t="s">
        <v>68</v>
      </c>
      <c r="D62" s="16"/>
      <c r="E62" s="16">
        <v>11</v>
      </c>
      <c r="F62" s="16">
        <f>888+95</f>
        <v>983</v>
      </c>
      <c r="G62" s="16">
        <f>863+110</f>
        <v>973</v>
      </c>
      <c r="H62" s="4">
        <f t="shared" si="7"/>
        <v>10</v>
      </c>
    </row>
    <row r="63" spans="1:8" ht="15.75">
      <c r="A63">
        <f>A62+1</f>
        <v>63</v>
      </c>
      <c r="B63" s="5" t="s">
        <v>21</v>
      </c>
      <c r="C63" s="17" t="s">
        <v>97</v>
      </c>
      <c r="D63" s="16"/>
      <c r="E63" s="16">
        <v>11</v>
      </c>
      <c r="F63" s="16">
        <f>737+61</f>
        <v>798</v>
      </c>
      <c r="G63" s="16">
        <f>730+62</f>
        <v>792</v>
      </c>
      <c r="H63" s="4">
        <f t="shared" si="7"/>
        <v>6</v>
      </c>
    </row>
    <row r="64" spans="1:8" ht="15.75">
      <c r="A64">
        <f>A63+1</f>
        <v>64</v>
      </c>
      <c r="B64" s="5" t="s">
        <v>36</v>
      </c>
      <c r="C64" s="17" t="s">
        <v>156</v>
      </c>
      <c r="D64" s="16"/>
      <c r="E64" s="16">
        <v>11</v>
      </c>
      <c r="F64" s="16">
        <f>825+59</f>
        <v>884</v>
      </c>
      <c r="G64" s="16">
        <f>798+80</f>
        <v>878</v>
      </c>
      <c r="H64" s="4">
        <f t="shared" si="7"/>
        <v>6</v>
      </c>
    </row>
    <row r="65" spans="1:8" ht="15.75">
      <c r="A65">
        <f>A64+1</f>
        <v>65</v>
      </c>
      <c r="B65" s="5" t="s">
        <v>49</v>
      </c>
      <c r="C65" s="17" t="s">
        <v>125</v>
      </c>
      <c r="D65" s="16"/>
      <c r="E65" s="16">
        <v>11</v>
      </c>
      <c r="F65" s="16">
        <f>795+78</f>
        <v>873</v>
      </c>
      <c r="G65" s="16">
        <f>787+81</f>
        <v>868</v>
      </c>
      <c r="H65" s="4">
        <f>F65-G65</f>
        <v>5</v>
      </c>
    </row>
    <row r="66" spans="1:8" ht="15.75">
      <c r="A66">
        <f>A65+1</f>
        <v>66</v>
      </c>
      <c r="B66" s="5" t="s">
        <v>10</v>
      </c>
      <c r="C66" s="17" t="s">
        <v>15</v>
      </c>
      <c r="D66" s="16"/>
      <c r="E66" s="16">
        <v>11</v>
      </c>
      <c r="F66" s="16">
        <f>823+90</f>
        <v>913</v>
      </c>
      <c r="G66" s="16">
        <f>827+84</f>
        <v>911</v>
      </c>
      <c r="H66" s="4">
        <f aca="true" t="shared" si="9" ref="H66:H77">F66-G66</f>
        <v>2</v>
      </c>
    </row>
    <row r="67" spans="1:8" ht="15.75">
      <c r="A67">
        <f aca="true" t="shared" si="10" ref="A67:A81">A66+1</f>
        <v>67</v>
      </c>
      <c r="B67" s="5" t="s">
        <v>38</v>
      </c>
      <c r="C67" s="17" t="s">
        <v>39</v>
      </c>
      <c r="D67" s="16"/>
      <c r="E67" s="16">
        <v>11</v>
      </c>
      <c r="F67" s="16">
        <f>742+96</f>
        <v>838</v>
      </c>
      <c r="G67" s="16">
        <f>777+59</f>
        <v>836</v>
      </c>
      <c r="H67" s="4">
        <f t="shared" si="9"/>
        <v>2</v>
      </c>
    </row>
    <row r="68" spans="1:8" ht="15.75">
      <c r="A68">
        <f t="shared" si="10"/>
        <v>68</v>
      </c>
      <c r="B68" s="5" t="s">
        <v>50</v>
      </c>
      <c r="C68" s="17" t="s">
        <v>118</v>
      </c>
      <c r="D68" s="16"/>
      <c r="E68" s="16">
        <v>11</v>
      </c>
      <c r="F68" s="16">
        <f>746+113</f>
        <v>859</v>
      </c>
      <c r="G68" s="16">
        <f>777+81</f>
        <v>858</v>
      </c>
      <c r="H68" s="4">
        <f t="shared" si="9"/>
        <v>1</v>
      </c>
    </row>
    <row r="69" spans="1:8" ht="15.75">
      <c r="A69">
        <f t="shared" si="10"/>
        <v>69</v>
      </c>
      <c r="B69" s="5" t="s">
        <v>28</v>
      </c>
      <c r="C69" s="17" t="s">
        <v>23</v>
      </c>
      <c r="D69" s="16"/>
      <c r="E69" s="16">
        <v>11</v>
      </c>
      <c r="F69" s="16">
        <f>803+68</f>
        <v>871</v>
      </c>
      <c r="G69" s="16">
        <f>789+82</f>
        <v>871</v>
      </c>
      <c r="H69" s="4">
        <f t="shared" si="9"/>
        <v>0</v>
      </c>
    </row>
    <row r="70" spans="1:8" ht="15.75">
      <c r="A70" s="18">
        <f t="shared" si="10"/>
        <v>70</v>
      </c>
      <c r="B70" s="5" t="s">
        <v>38</v>
      </c>
      <c r="C70" s="17" t="s">
        <v>151</v>
      </c>
      <c r="D70" s="16"/>
      <c r="E70" s="16">
        <v>11</v>
      </c>
      <c r="F70" s="16">
        <f>779+81</f>
        <v>860</v>
      </c>
      <c r="G70" s="16">
        <f>776+84</f>
        <v>860</v>
      </c>
      <c r="H70" s="4">
        <f t="shared" si="9"/>
        <v>0</v>
      </c>
    </row>
    <row r="71" spans="1:8" ht="15.75">
      <c r="A71" s="18">
        <f t="shared" si="10"/>
        <v>71</v>
      </c>
      <c r="B71" s="5" t="s">
        <v>21</v>
      </c>
      <c r="C71" s="17" t="s">
        <v>98</v>
      </c>
      <c r="D71" s="16"/>
      <c r="E71" s="16">
        <v>11</v>
      </c>
      <c r="F71" s="16">
        <f>709+69</f>
        <v>778</v>
      </c>
      <c r="G71" s="16">
        <f>692+88</f>
        <v>780</v>
      </c>
      <c r="H71" s="4">
        <f t="shared" si="9"/>
        <v>-2</v>
      </c>
    </row>
    <row r="72" spans="1:8" ht="16.5" thickBot="1">
      <c r="A72" s="12">
        <f t="shared" si="10"/>
        <v>72</v>
      </c>
      <c r="B72" s="5" t="s">
        <v>10</v>
      </c>
      <c r="C72" s="17" t="s">
        <v>57</v>
      </c>
      <c r="D72" s="16"/>
      <c r="E72" s="16">
        <v>11</v>
      </c>
      <c r="F72" s="16">
        <f>857+72</f>
        <v>929</v>
      </c>
      <c r="G72" s="16">
        <f>856+76</f>
        <v>932</v>
      </c>
      <c r="H72" s="4">
        <f t="shared" si="9"/>
        <v>-3</v>
      </c>
    </row>
    <row r="73" spans="1:8" ht="15.75">
      <c r="A73">
        <f t="shared" si="10"/>
        <v>73</v>
      </c>
      <c r="B73" s="5" t="s">
        <v>21</v>
      </c>
      <c r="C73" s="17" t="s">
        <v>96</v>
      </c>
      <c r="D73" s="16"/>
      <c r="E73" s="16">
        <v>11</v>
      </c>
      <c r="F73" s="16">
        <f>758+106</f>
        <v>864</v>
      </c>
      <c r="G73" s="16">
        <f>788+80</f>
        <v>868</v>
      </c>
      <c r="H73" s="4">
        <f t="shared" si="9"/>
        <v>-4</v>
      </c>
    </row>
    <row r="74" spans="1:8" ht="15.75">
      <c r="A74">
        <f t="shared" si="10"/>
        <v>74</v>
      </c>
      <c r="B74" s="5" t="s">
        <v>40</v>
      </c>
      <c r="C74" s="17" t="s">
        <v>131</v>
      </c>
      <c r="D74" s="16"/>
      <c r="E74" s="16">
        <v>11</v>
      </c>
      <c r="F74" s="16">
        <f>805+74</f>
        <v>879</v>
      </c>
      <c r="G74" s="16">
        <f>791+93</f>
        <v>884</v>
      </c>
      <c r="H74" s="4">
        <f t="shared" si="9"/>
        <v>-5</v>
      </c>
    </row>
    <row r="75" spans="1:8" ht="15.75">
      <c r="A75" s="18">
        <f t="shared" si="10"/>
        <v>75</v>
      </c>
      <c r="B75" s="5" t="s">
        <v>44</v>
      </c>
      <c r="C75" s="17" t="s">
        <v>19</v>
      </c>
      <c r="D75" s="16"/>
      <c r="E75" s="16">
        <v>11</v>
      </c>
      <c r="F75" s="16">
        <f>877+71</f>
        <v>948</v>
      </c>
      <c r="G75" s="16">
        <f>865+91</f>
        <v>956</v>
      </c>
      <c r="H75" s="4">
        <f t="shared" si="9"/>
        <v>-8</v>
      </c>
    </row>
    <row r="76" spans="1:8" ht="15.75">
      <c r="A76">
        <f t="shared" si="10"/>
        <v>76</v>
      </c>
      <c r="B76" s="5" t="s">
        <v>10</v>
      </c>
      <c r="C76" s="17" t="s">
        <v>22</v>
      </c>
      <c r="D76" s="16"/>
      <c r="E76" s="16">
        <v>11</v>
      </c>
      <c r="F76" s="16">
        <f>762+63</f>
        <v>825</v>
      </c>
      <c r="G76" s="16">
        <f>775+58</f>
        <v>833</v>
      </c>
      <c r="H76" s="4">
        <f t="shared" si="9"/>
        <v>-8</v>
      </c>
    </row>
    <row r="77" spans="1:8" ht="15.75">
      <c r="A77">
        <f t="shared" si="10"/>
        <v>77</v>
      </c>
      <c r="B77" s="5" t="s">
        <v>28</v>
      </c>
      <c r="C77" s="17" t="s">
        <v>140</v>
      </c>
      <c r="D77" s="16"/>
      <c r="E77" s="16">
        <v>11</v>
      </c>
      <c r="F77" s="16">
        <v>823</v>
      </c>
      <c r="G77" s="16">
        <v>835</v>
      </c>
      <c r="H77" s="4">
        <f t="shared" si="9"/>
        <v>-12</v>
      </c>
    </row>
    <row r="78" spans="1:8" ht="15.75">
      <c r="A78">
        <f t="shared" si="10"/>
        <v>78</v>
      </c>
      <c r="B78" s="5" t="s">
        <v>40</v>
      </c>
      <c r="C78" s="17" t="s">
        <v>143</v>
      </c>
      <c r="D78" s="16"/>
      <c r="E78" s="16">
        <v>11</v>
      </c>
      <c r="F78" s="16">
        <f>732+92</f>
        <v>824</v>
      </c>
      <c r="G78" s="16">
        <f>764+73</f>
        <v>837</v>
      </c>
      <c r="H78" s="4">
        <f>F78-G78</f>
        <v>-13</v>
      </c>
    </row>
    <row r="79" spans="1:8" ht="15.75">
      <c r="A79">
        <f t="shared" si="10"/>
        <v>79</v>
      </c>
      <c r="B79" s="5" t="s">
        <v>50</v>
      </c>
      <c r="C79" s="17" t="s">
        <v>120</v>
      </c>
      <c r="D79" s="16"/>
      <c r="E79" s="16">
        <v>11</v>
      </c>
      <c r="F79" s="16">
        <f>801+60</f>
        <v>861</v>
      </c>
      <c r="G79" s="16">
        <f>804+71</f>
        <v>875</v>
      </c>
      <c r="H79" s="4">
        <f aca="true" t="shared" si="11" ref="H79:H90">F79-G79</f>
        <v>-14</v>
      </c>
    </row>
    <row r="80" spans="1:8" ht="15.75">
      <c r="A80">
        <f t="shared" si="10"/>
        <v>80</v>
      </c>
      <c r="B80" s="5" t="s">
        <v>38</v>
      </c>
      <c r="C80" s="17" t="s">
        <v>150</v>
      </c>
      <c r="D80" s="16"/>
      <c r="E80" s="16">
        <v>11</v>
      </c>
      <c r="F80" s="16">
        <f>793+84</f>
        <v>877</v>
      </c>
      <c r="G80" s="16">
        <f>812+81</f>
        <v>893</v>
      </c>
      <c r="H80" s="4">
        <f t="shared" si="11"/>
        <v>-16</v>
      </c>
    </row>
    <row r="81" spans="1:8" ht="15.75">
      <c r="A81">
        <f t="shared" si="10"/>
        <v>81</v>
      </c>
      <c r="B81" s="5" t="s">
        <v>32</v>
      </c>
      <c r="C81" s="17" t="s">
        <v>73</v>
      </c>
      <c r="D81" s="16"/>
      <c r="E81" s="16">
        <v>11</v>
      </c>
      <c r="F81" s="16">
        <f>766+59</f>
        <v>825</v>
      </c>
      <c r="G81" s="16">
        <f>777+67</f>
        <v>844</v>
      </c>
      <c r="H81" s="4">
        <f t="shared" si="11"/>
        <v>-19</v>
      </c>
    </row>
    <row r="82" spans="1:8" ht="15.75">
      <c r="A82">
        <f aca="true" t="shared" si="12" ref="A82:A114">A81+1</f>
        <v>82</v>
      </c>
      <c r="B82" s="5" t="s">
        <v>38</v>
      </c>
      <c r="C82" s="17" t="s">
        <v>147</v>
      </c>
      <c r="D82" s="16"/>
      <c r="E82" s="16">
        <v>11</v>
      </c>
      <c r="F82" s="16">
        <f>760+59</f>
        <v>819</v>
      </c>
      <c r="G82" s="16">
        <f>743+96</f>
        <v>839</v>
      </c>
      <c r="H82" s="4">
        <f t="shared" si="11"/>
        <v>-20</v>
      </c>
    </row>
    <row r="83" spans="1:8" ht="15.75">
      <c r="A83">
        <f t="shared" si="12"/>
        <v>83</v>
      </c>
      <c r="B83" s="5" t="s">
        <v>17</v>
      </c>
      <c r="C83" s="25" t="s">
        <v>105</v>
      </c>
      <c r="D83" s="26"/>
      <c r="E83" s="26">
        <v>11</v>
      </c>
      <c r="F83" s="26">
        <f>772+95</f>
        <v>867</v>
      </c>
      <c r="G83" s="26">
        <f>810+79</f>
        <v>889</v>
      </c>
      <c r="H83" s="4">
        <f t="shared" si="11"/>
        <v>-22</v>
      </c>
    </row>
    <row r="84" spans="1:8" ht="15.75">
      <c r="A84">
        <f t="shared" si="12"/>
        <v>84</v>
      </c>
      <c r="B84" s="5" t="s">
        <v>49</v>
      </c>
      <c r="C84" s="17" t="s">
        <v>124</v>
      </c>
      <c r="D84" s="16"/>
      <c r="E84" s="16">
        <v>11</v>
      </c>
      <c r="F84" s="16">
        <f>786+62</f>
        <v>848</v>
      </c>
      <c r="G84" s="16">
        <f>781+89</f>
        <v>870</v>
      </c>
      <c r="H84" s="4">
        <f t="shared" si="11"/>
        <v>-22</v>
      </c>
    </row>
    <row r="85" spans="1:8" ht="15.75">
      <c r="A85">
        <f t="shared" si="12"/>
        <v>85</v>
      </c>
      <c r="B85" s="5" t="s">
        <v>49</v>
      </c>
      <c r="C85" s="17" t="s">
        <v>47</v>
      </c>
      <c r="D85" s="16"/>
      <c r="E85" s="16">
        <v>11</v>
      </c>
      <c r="F85" s="16">
        <f>757+79</f>
        <v>836</v>
      </c>
      <c r="G85" s="16">
        <f>785+75</f>
        <v>860</v>
      </c>
      <c r="H85" s="4">
        <f t="shared" si="11"/>
        <v>-24</v>
      </c>
    </row>
    <row r="86" spans="1:8" ht="15.75">
      <c r="A86">
        <f t="shared" si="12"/>
        <v>86</v>
      </c>
      <c r="B86" s="5" t="s">
        <v>17</v>
      </c>
      <c r="C86" s="25" t="s">
        <v>103</v>
      </c>
      <c r="D86" s="26"/>
      <c r="E86" s="26">
        <v>11</v>
      </c>
      <c r="F86" s="26">
        <f>773+85</f>
        <v>858</v>
      </c>
      <c r="G86" s="26">
        <f>809+74</f>
        <v>883</v>
      </c>
      <c r="H86" s="4">
        <f t="shared" si="11"/>
        <v>-25</v>
      </c>
    </row>
    <row r="87" spans="1:8" ht="15.75">
      <c r="A87">
        <f t="shared" si="12"/>
        <v>87</v>
      </c>
      <c r="B87" s="5" t="s">
        <v>50</v>
      </c>
      <c r="C87" s="17" t="s">
        <v>52</v>
      </c>
      <c r="D87" s="16"/>
      <c r="E87" s="16">
        <v>11</v>
      </c>
      <c r="F87" s="16">
        <f>733+69</f>
        <v>802</v>
      </c>
      <c r="G87" s="16">
        <f>759+68</f>
        <v>827</v>
      </c>
      <c r="H87" s="4">
        <f t="shared" si="11"/>
        <v>-25</v>
      </c>
    </row>
    <row r="88" spans="1:8" ht="15.75">
      <c r="A88">
        <f t="shared" si="12"/>
        <v>88</v>
      </c>
      <c r="B88" s="5" t="s">
        <v>24</v>
      </c>
      <c r="C88" s="17" t="s">
        <v>87</v>
      </c>
      <c r="D88" s="16"/>
      <c r="E88" s="16">
        <v>11</v>
      </c>
      <c r="F88" s="16">
        <f>746+69</f>
        <v>815</v>
      </c>
      <c r="G88" s="16">
        <f>735+107</f>
        <v>842</v>
      </c>
      <c r="H88" s="4">
        <f t="shared" si="11"/>
        <v>-27</v>
      </c>
    </row>
    <row r="89" spans="1:8" ht="16.5">
      <c r="A89">
        <f t="shared" si="12"/>
        <v>89</v>
      </c>
      <c r="B89" s="5" t="s">
        <v>40</v>
      </c>
      <c r="C89" s="20" t="s">
        <v>142</v>
      </c>
      <c r="D89" s="16"/>
      <c r="E89" s="16">
        <v>11</v>
      </c>
      <c r="F89" s="16">
        <f>751+77</f>
        <v>828</v>
      </c>
      <c r="G89" s="16">
        <f>769+88</f>
        <v>857</v>
      </c>
      <c r="H89" s="4">
        <f t="shared" si="11"/>
        <v>-29</v>
      </c>
    </row>
    <row r="90" spans="1:8" ht="15.75">
      <c r="A90">
        <f t="shared" si="12"/>
        <v>90</v>
      </c>
      <c r="B90" s="5" t="s">
        <v>32</v>
      </c>
      <c r="C90" s="17" t="s">
        <v>74</v>
      </c>
      <c r="D90" s="16"/>
      <c r="E90" s="16">
        <v>11</v>
      </c>
      <c r="F90" s="16">
        <f>805+76</f>
        <v>881</v>
      </c>
      <c r="G90" s="16">
        <f>853+64</f>
        <v>917</v>
      </c>
      <c r="H90" s="4">
        <f t="shared" si="11"/>
        <v>-36</v>
      </c>
    </row>
    <row r="91" spans="1:8" ht="16.5">
      <c r="A91">
        <f t="shared" si="12"/>
        <v>91</v>
      </c>
      <c r="B91" s="5" t="s">
        <v>44</v>
      </c>
      <c r="C91" s="20" t="s">
        <v>135</v>
      </c>
      <c r="D91" s="16"/>
      <c r="E91" s="16">
        <v>11</v>
      </c>
      <c r="F91" s="16">
        <f>704+93</f>
        <v>797</v>
      </c>
      <c r="G91" s="16">
        <f>761+74</f>
        <v>835</v>
      </c>
      <c r="H91" s="4">
        <f>F91-G91</f>
        <v>-38</v>
      </c>
    </row>
    <row r="92" spans="1:8" ht="15.75">
      <c r="A92">
        <f t="shared" si="12"/>
        <v>92</v>
      </c>
      <c r="B92" s="5" t="s">
        <v>21</v>
      </c>
      <c r="C92" s="17" t="s">
        <v>99</v>
      </c>
      <c r="D92" s="16"/>
      <c r="E92" s="16">
        <v>11</v>
      </c>
      <c r="F92" s="16">
        <f>771+80</f>
        <v>851</v>
      </c>
      <c r="G92" s="16">
        <f>788+106</f>
        <v>894</v>
      </c>
      <c r="H92" s="4">
        <f aca="true" t="shared" si="13" ref="H92:H103">F92-G92</f>
        <v>-43</v>
      </c>
    </row>
    <row r="93" spans="1:8" ht="15.75">
      <c r="A93" s="18">
        <f t="shared" si="12"/>
        <v>93</v>
      </c>
      <c r="B93" s="5" t="s">
        <v>38</v>
      </c>
      <c r="C93" s="17" t="s">
        <v>153</v>
      </c>
      <c r="D93" s="16"/>
      <c r="E93" s="16">
        <v>11</v>
      </c>
      <c r="F93" s="16">
        <f>774+64</f>
        <v>838</v>
      </c>
      <c r="G93" s="16">
        <f>795+87</f>
        <v>882</v>
      </c>
      <c r="H93" s="4">
        <f t="shared" si="13"/>
        <v>-44</v>
      </c>
    </row>
    <row r="94" spans="1:8" ht="15.75">
      <c r="A94">
        <f t="shared" si="12"/>
        <v>94</v>
      </c>
      <c r="B94" s="5" t="s">
        <v>21</v>
      </c>
      <c r="C94" s="17" t="s">
        <v>167</v>
      </c>
      <c r="D94" s="16"/>
      <c r="E94" s="16">
        <v>11</v>
      </c>
      <c r="F94" s="16">
        <f>707+62</f>
        <v>769</v>
      </c>
      <c r="G94" s="16">
        <f>755+61</f>
        <v>816</v>
      </c>
      <c r="H94" s="4">
        <f t="shared" si="13"/>
        <v>-47</v>
      </c>
    </row>
    <row r="95" spans="1:8" ht="15.75">
      <c r="A95">
        <f t="shared" si="12"/>
        <v>95</v>
      </c>
      <c r="B95" s="5" t="s">
        <v>32</v>
      </c>
      <c r="C95" s="17" t="s">
        <v>75</v>
      </c>
      <c r="D95" s="16"/>
      <c r="E95" s="16">
        <v>11</v>
      </c>
      <c r="F95" s="16">
        <f>793+74</f>
        <v>867</v>
      </c>
      <c r="G95" s="16">
        <f>842+73</f>
        <v>915</v>
      </c>
      <c r="H95" s="4">
        <f t="shared" si="13"/>
        <v>-48</v>
      </c>
    </row>
    <row r="96" spans="1:8" ht="15.75">
      <c r="A96">
        <f t="shared" si="12"/>
        <v>96</v>
      </c>
      <c r="B96" s="5" t="s">
        <v>10</v>
      </c>
      <c r="C96" s="17" t="s">
        <v>111</v>
      </c>
      <c r="D96" s="16"/>
      <c r="E96" s="16">
        <v>11</v>
      </c>
      <c r="F96" s="16">
        <f>757+76</f>
        <v>833</v>
      </c>
      <c r="G96" s="16">
        <f>811+72</f>
        <v>883</v>
      </c>
      <c r="H96" s="4">
        <f t="shared" si="13"/>
        <v>-50</v>
      </c>
    </row>
    <row r="97" spans="1:8" ht="15.75">
      <c r="A97">
        <f t="shared" si="12"/>
        <v>97</v>
      </c>
      <c r="B97" s="5" t="s">
        <v>17</v>
      </c>
      <c r="C97" s="25" t="s">
        <v>106</v>
      </c>
      <c r="D97" s="26"/>
      <c r="E97" s="26">
        <v>11</v>
      </c>
      <c r="F97" s="26">
        <f>811+56</f>
        <v>867</v>
      </c>
      <c r="G97" s="26">
        <f>839+81</f>
        <v>920</v>
      </c>
      <c r="H97" s="4">
        <f t="shared" si="13"/>
        <v>-53</v>
      </c>
    </row>
    <row r="98" spans="1:8" ht="15.75">
      <c r="A98">
        <f t="shared" si="12"/>
        <v>98</v>
      </c>
      <c r="B98" s="5" t="s">
        <v>17</v>
      </c>
      <c r="C98" s="25" t="s">
        <v>104</v>
      </c>
      <c r="D98" s="26"/>
      <c r="E98" s="26">
        <v>11</v>
      </c>
      <c r="F98" s="26">
        <f>831+79</f>
        <v>910</v>
      </c>
      <c r="G98" s="26">
        <f>873+95</f>
        <v>968</v>
      </c>
      <c r="H98" s="4">
        <f t="shared" si="13"/>
        <v>-58</v>
      </c>
    </row>
    <row r="99" spans="1:8" ht="15.75">
      <c r="A99">
        <f t="shared" si="12"/>
        <v>99</v>
      </c>
      <c r="B99" s="5" t="s">
        <v>49</v>
      </c>
      <c r="C99" s="17" t="s">
        <v>126</v>
      </c>
      <c r="D99" s="16"/>
      <c r="E99" s="16">
        <v>11</v>
      </c>
      <c r="F99" s="16">
        <f>810+75</f>
        <v>885</v>
      </c>
      <c r="G99" s="16">
        <f>864+79</f>
        <v>943</v>
      </c>
      <c r="H99" s="4">
        <f t="shared" si="13"/>
        <v>-58</v>
      </c>
    </row>
    <row r="100" spans="1:8" ht="15.75">
      <c r="A100">
        <f t="shared" si="12"/>
        <v>100</v>
      </c>
      <c r="B100" s="5" t="s">
        <v>36</v>
      </c>
      <c r="C100" s="17" t="s">
        <v>160</v>
      </c>
      <c r="D100" s="16"/>
      <c r="E100" s="16">
        <v>11</v>
      </c>
      <c r="F100" s="16">
        <f>706+73</f>
        <v>779</v>
      </c>
      <c r="G100" s="16">
        <f>777+61</f>
        <v>838</v>
      </c>
      <c r="H100" s="4">
        <f t="shared" si="13"/>
        <v>-59</v>
      </c>
    </row>
    <row r="101" spans="1:8" ht="15.75">
      <c r="A101">
        <f t="shared" si="12"/>
        <v>101</v>
      </c>
      <c r="B101" s="5" t="s">
        <v>40</v>
      </c>
      <c r="C101" s="17" t="s">
        <v>65</v>
      </c>
      <c r="D101" s="16"/>
      <c r="E101" s="16">
        <v>11</v>
      </c>
      <c r="F101" s="16">
        <f>815+73</f>
        <v>888</v>
      </c>
      <c r="G101" s="16">
        <f>855+92</f>
        <v>947</v>
      </c>
      <c r="H101" s="4">
        <f t="shared" si="13"/>
        <v>-59</v>
      </c>
    </row>
    <row r="102" spans="1:8" ht="16.5">
      <c r="A102">
        <f t="shared" si="12"/>
        <v>102</v>
      </c>
      <c r="B102" s="5" t="s">
        <v>44</v>
      </c>
      <c r="C102" s="20" t="s">
        <v>132</v>
      </c>
      <c r="D102" s="16"/>
      <c r="E102" s="16">
        <v>11</v>
      </c>
      <c r="F102" s="16">
        <f>721+68</f>
        <v>789</v>
      </c>
      <c r="G102" s="16">
        <f>777+73</f>
        <v>850</v>
      </c>
      <c r="H102" s="4">
        <f t="shared" si="13"/>
        <v>-61</v>
      </c>
    </row>
    <row r="103" spans="1:8" ht="16.5">
      <c r="A103">
        <f t="shared" si="12"/>
        <v>103</v>
      </c>
      <c r="B103" s="5" t="s">
        <v>24</v>
      </c>
      <c r="C103" s="20" t="s">
        <v>90</v>
      </c>
      <c r="D103" s="16"/>
      <c r="E103" s="16">
        <v>11</v>
      </c>
      <c r="F103" s="16">
        <f>678+75</f>
        <v>753</v>
      </c>
      <c r="G103" s="16">
        <f>747+69</f>
        <v>816</v>
      </c>
      <c r="H103" s="4">
        <f t="shared" si="13"/>
        <v>-63</v>
      </c>
    </row>
    <row r="104" spans="1:8" ht="15.75">
      <c r="A104">
        <f t="shared" si="12"/>
        <v>104</v>
      </c>
      <c r="B104" s="5" t="s">
        <v>24</v>
      </c>
      <c r="C104" s="17" t="s">
        <v>88</v>
      </c>
      <c r="D104" s="16"/>
      <c r="E104" s="16">
        <v>11</v>
      </c>
      <c r="F104" s="16">
        <f>830+73</f>
        <v>903</v>
      </c>
      <c r="G104" s="16">
        <f>874+93</f>
        <v>967</v>
      </c>
      <c r="H104" s="4">
        <f>F104-G104</f>
        <v>-64</v>
      </c>
    </row>
    <row r="105" spans="1:8" ht="15.75">
      <c r="A105">
        <f t="shared" si="12"/>
        <v>105</v>
      </c>
      <c r="B105" s="5" t="s">
        <v>40</v>
      </c>
      <c r="C105" s="17" t="s">
        <v>37</v>
      </c>
      <c r="D105" s="16"/>
      <c r="E105" s="16">
        <v>11</v>
      </c>
      <c r="F105" s="16">
        <f>778+77</f>
        <v>855</v>
      </c>
      <c r="G105" s="16">
        <f>841+80</f>
        <v>921</v>
      </c>
      <c r="H105" s="4">
        <f aca="true" t="shared" si="14" ref="H105:H117">F105-G105</f>
        <v>-66</v>
      </c>
    </row>
    <row r="106" spans="1:8" ht="16.5">
      <c r="A106">
        <f t="shared" si="12"/>
        <v>106</v>
      </c>
      <c r="B106" s="5" t="s">
        <v>17</v>
      </c>
      <c r="C106" s="28" t="s">
        <v>20</v>
      </c>
      <c r="D106" s="26"/>
      <c r="E106" s="26">
        <v>11</v>
      </c>
      <c r="F106" s="26">
        <f>710+56</f>
        <v>766</v>
      </c>
      <c r="G106" s="26">
        <f>759+74</f>
        <v>833</v>
      </c>
      <c r="H106" s="4">
        <f t="shared" si="14"/>
        <v>-67</v>
      </c>
    </row>
    <row r="107" spans="1:8" ht="15.75">
      <c r="A107">
        <f t="shared" si="12"/>
        <v>107</v>
      </c>
      <c r="B107" s="5" t="s">
        <v>38</v>
      </c>
      <c r="C107" s="17" t="s">
        <v>149</v>
      </c>
      <c r="D107" s="16"/>
      <c r="E107" s="16">
        <v>11</v>
      </c>
      <c r="F107" s="16">
        <v>770</v>
      </c>
      <c r="G107" s="16">
        <v>839</v>
      </c>
      <c r="H107" s="4">
        <f t="shared" si="14"/>
        <v>-69</v>
      </c>
    </row>
    <row r="108" spans="1:8" ht="16.5">
      <c r="A108">
        <f t="shared" si="12"/>
        <v>108</v>
      </c>
      <c r="B108" s="5" t="s">
        <v>28</v>
      </c>
      <c r="C108" s="20" t="s">
        <v>80</v>
      </c>
      <c r="D108" s="16"/>
      <c r="E108" s="16">
        <v>11</v>
      </c>
      <c r="F108" s="16">
        <f>702+71</f>
        <v>773</v>
      </c>
      <c r="G108" s="16">
        <f>763+80</f>
        <v>843</v>
      </c>
      <c r="H108" s="4">
        <f t="shared" si="14"/>
        <v>-70</v>
      </c>
    </row>
    <row r="109" spans="1:8" ht="16.5">
      <c r="A109">
        <f t="shared" si="12"/>
        <v>109</v>
      </c>
      <c r="B109" s="5" t="s">
        <v>49</v>
      </c>
      <c r="C109" s="20" t="s">
        <v>166</v>
      </c>
      <c r="D109" s="16"/>
      <c r="E109" s="16">
        <v>11</v>
      </c>
      <c r="F109" s="16">
        <f>758+79</f>
        <v>837</v>
      </c>
      <c r="G109" s="16">
        <f>811+96</f>
        <v>907</v>
      </c>
      <c r="H109" s="4">
        <f t="shared" si="14"/>
        <v>-70</v>
      </c>
    </row>
    <row r="110" spans="1:8" ht="15.75">
      <c r="A110">
        <f t="shared" si="12"/>
        <v>110</v>
      </c>
      <c r="B110" s="5" t="s">
        <v>32</v>
      </c>
      <c r="C110" s="17" t="s">
        <v>31</v>
      </c>
      <c r="D110" s="16"/>
      <c r="E110" s="16">
        <v>11</v>
      </c>
      <c r="F110" s="16">
        <v>725</v>
      </c>
      <c r="G110" s="16">
        <v>796</v>
      </c>
      <c r="H110" s="4">
        <f aca="true" t="shared" si="15" ref="H110:H132">F110-G110</f>
        <v>-71</v>
      </c>
    </row>
    <row r="111" spans="1:8" ht="15.75">
      <c r="A111">
        <f t="shared" si="12"/>
        <v>111</v>
      </c>
      <c r="B111" s="5" t="s">
        <v>10</v>
      </c>
      <c r="C111" s="17" t="s">
        <v>110</v>
      </c>
      <c r="D111" s="16"/>
      <c r="E111" s="16">
        <v>11</v>
      </c>
      <c r="F111" s="16">
        <f>805+84</f>
        <v>889</v>
      </c>
      <c r="G111" s="16">
        <f>872+90</f>
        <v>962</v>
      </c>
      <c r="H111" s="4">
        <f t="shared" si="14"/>
        <v>-73</v>
      </c>
    </row>
    <row r="112" spans="1:8" ht="16.5">
      <c r="A112">
        <f t="shared" si="12"/>
        <v>112</v>
      </c>
      <c r="B112" s="5" t="s">
        <v>10</v>
      </c>
      <c r="C112" s="20" t="s">
        <v>112</v>
      </c>
      <c r="D112" s="16"/>
      <c r="E112" s="16">
        <v>11</v>
      </c>
      <c r="F112" s="16">
        <f>766+54</f>
        <v>820</v>
      </c>
      <c r="G112" s="16">
        <f>815+79</f>
        <v>894</v>
      </c>
      <c r="H112" s="4">
        <f t="shared" si="14"/>
        <v>-74</v>
      </c>
    </row>
    <row r="113" spans="1:8" ht="16.5">
      <c r="A113">
        <f t="shared" si="12"/>
        <v>113</v>
      </c>
      <c r="B113" s="5" t="s">
        <v>38</v>
      </c>
      <c r="C113" s="21" t="s">
        <v>154</v>
      </c>
      <c r="D113" s="16"/>
      <c r="E113" s="16">
        <v>11</v>
      </c>
      <c r="F113" s="16">
        <f>727+88</f>
        <v>815</v>
      </c>
      <c r="G113" s="16">
        <f>793+97</f>
        <v>890</v>
      </c>
      <c r="H113" s="4">
        <f t="shared" si="14"/>
        <v>-75</v>
      </c>
    </row>
    <row r="114" spans="1:8" ht="16.5">
      <c r="A114">
        <f t="shared" si="12"/>
        <v>114</v>
      </c>
      <c r="B114" s="5" t="s">
        <v>36</v>
      </c>
      <c r="C114" s="20" t="s">
        <v>161</v>
      </c>
      <c r="D114" s="16"/>
      <c r="E114" s="16">
        <v>11</v>
      </c>
      <c r="F114" s="16">
        <f>694+83</f>
        <v>777</v>
      </c>
      <c r="G114" s="16">
        <f>755+99</f>
        <v>854</v>
      </c>
      <c r="H114" s="4">
        <f t="shared" si="14"/>
        <v>-77</v>
      </c>
    </row>
    <row r="115" spans="1:8" ht="16.5">
      <c r="A115">
        <f aca="true" t="shared" si="16" ref="A115:A130">A114+1</f>
        <v>115</v>
      </c>
      <c r="B115" s="5" t="s">
        <v>17</v>
      </c>
      <c r="C115" s="28" t="s">
        <v>70</v>
      </c>
      <c r="D115" s="26"/>
      <c r="E115" s="26">
        <v>11</v>
      </c>
      <c r="F115" s="26">
        <f>713+81</f>
        <v>794</v>
      </c>
      <c r="G115" s="26">
        <f>820+56</f>
        <v>876</v>
      </c>
      <c r="H115" s="4">
        <f t="shared" si="14"/>
        <v>-82</v>
      </c>
    </row>
    <row r="116" spans="1:8" ht="16.5">
      <c r="A116">
        <f t="shared" si="16"/>
        <v>116</v>
      </c>
      <c r="B116" s="5" t="s">
        <v>40</v>
      </c>
      <c r="C116" s="20" t="s">
        <v>144</v>
      </c>
      <c r="D116" s="16"/>
      <c r="E116" s="16">
        <v>11</v>
      </c>
      <c r="F116" s="16">
        <f>651+88</f>
        <v>739</v>
      </c>
      <c r="G116" s="16">
        <f>744+77</f>
        <v>821</v>
      </c>
      <c r="H116" s="4">
        <f t="shared" si="14"/>
        <v>-82</v>
      </c>
    </row>
    <row r="117" spans="1:8" ht="16.5">
      <c r="A117">
        <f t="shared" si="16"/>
        <v>117</v>
      </c>
      <c r="B117" s="5" t="s">
        <v>32</v>
      </c>
      <c r="C117" s="20" t="s">
        <v>78</v>
      </c>
      <c r="D117" s="16"/>
      <c r="E117" s="16">
        <v>11</v>
      </c>
      <c r="F117" s="16">
        <f>742+73</f>
        <v>815</v>
      </c>
      <c r="G117" s="16">
        <f>835+70</f>
        <v>905</v>
      </c>
      <c r="H117" s="4">
        <f t="shared" si="14"/>
        <v>-90</v>
      </c>
    </row>
    <row r="118" spans="1:8" ht="16.5">
      <c r="A118">
        <f t="shared" si="16"/>
        <v>118</v>
      </c>
      <c r="B118" s="5" t="s">
        <v>24</v>
      </c>
      <c r="C118" s="20" t="s">
        <v>89</v>
      </c>
      <c r="D118" s="16"/>
      <c r="E118" s="16">
        <v>11</v>
      </c>
      <c r="F118" s="16">
        <f>694+85</f>
        <v>779</v>
      </c>
      <c r="G118" s="16">
        <v>873</v>
      </c>
      <c r="H118" s="4">
        <f t="shared" si="15"/>
        <v>-94</v>
      </c>
    </row>
    <row r="119" spans="1:8" ht="16.5">
      <c r="A119">
        <f t="shared" si="16"/>
        <v>119</v>
      </c>
      <c r="B119" s="5" t="s">
        <v>28</v>
      </c>
      <c r="C119" s="21" t="s">
        <v>26</v>
      </c>
      <c r="D119" s="16"/>
      <c r="E119" s="16">
        <v>11</v>
      </c>
      <c r="F119" s="16">
        <f>649+58</f>
        <v>707</v>
      </c>
      <c r="G119" s="16">
        <f>741+63</f>
        <v>804</v>
      </c>
      <c r="H119" s="4">
        <f t="shared" si="15"/>
        <v>-97</v>
      </c>
    </row>
    <row r="120" spans="1:8" ht="16.5">
      <c r="A120">
        <f t="shared" si="16"/>
        <v>120</v>
      </c>
      <c r="B120" s="5" t="s">
        <v>36</v>
      </c>
      <c r="C120" s="20" t="s">
        <v>41</v>
      </c>
      <c r="D120" s="16"/>
      <c r="E120" s="16">
        <v>11</v>
      </c>
      <c r="F120" s="16">
        <f>686+93</f>
        <v>779</v>
      </c>
      <c r="G120" s="16">
        <f>811+65</f>
        <v>876</v>
      </c>
      <c r="H120" s="4">
        <f t="shared" si="15"/>
        <v>-97</v>
      </c>
    </row>
    <row r="121" spans="1:8" ht="16.5">
      <c r="A121">
        <f t="shared" si="16"/>
        <v>121</v>
      </c>
      <c r="B121" s="5" t="s">
        <v>50</v>
      </c>
      <c r="C121" s="20" t="s">
        <v>119</v>
      </c>
      <c r="D121" s="16"/>
      <c r="E121" s="16">
        <v>11</v>
      </c>
      <c r="F121" s="16">
        <f>704+68</f>
        <v>772</v>
      </c>
      <c r="G121" s="16">
        <f>780+90</f>
        <v>870</v>
      </c>
      <c r="H121" s="4">
        <f t="shared" si="15"/>
        <v>-98</v>
      </c>
    </row>
    <row r="122" spans="1:8" ht="16.5">
      <c r="A122">
        <f t="shared" si="16"/>
        <v>122</v>
      </c>
      <c r="B122" s="5" t="s">
        <v>38</v>
      </c>
      <c r="C122" s="20" t="s">
        <v>155</v>
      </c>
      <c r="D122" s="16"/>
      <c r="E122" s="16">
        <v>11</v>
      </c>
      <c r="F122" s="16">
        <v>880</v>
      </c>
      <c r="G122" s="16">
        <v>979</v>
      </c>
      <c r="H122" s="4">
        <f>F122-G122</f>
        <v>-99</v>
      </c>
    </row>
    <row r="123" spans="1:8" ht="15.75">
      <c r="A123">
        <f t="shared" si="16"/>
        <v>123</v>
      </c>
      <c r="B123" s="5" t="s">
        <v>24</v>
      </c>
      <c r="C123" s="17" t="s">
        <v>92</v>
      </c>
      <c r="D123" s="16"/>
      <c r="E123" s="16">
        <v>11</v>
      </c>
      <c r="F123" s="16">
        <f>781+70</f>
        <v>851</v>
      </c>
      <c r="G123" s="16">
        <f>868+85</f>
        <v>953</v>
      </c>
      <c r="H123" s="4">
        <f t="shared" si="15"/>
        <v>-102</v>
      </c>
    </row>
    <row r="124" spans="1:8" ht="16.5">
      <c r="A124">
        <f t="shared" si="16"/>
        <v>124</v>
      </c>
      <c r="B124" s="5" t="s">
        <v>40</v>
      </c>
      <c r="C124" s="21" t="s">
        <v>145</v>
      </c>
      <c r="D124" s="16"/>
      <c r="E124" s="16">
        <v>11</v>
      </c>
      <c r="F124" s="16">
        <v>781</v>
      </c>
      <c r="G124" s="16">
        <v>887</v>
      </c>
      <c r="H124" s="4">
        <f t="shared" si="15"/>
        <v>-106</v>
      </c>
    </row>
    <row r="125" spans="1:8" ht="15.75">
      <c r="A125">
        <f t="shared" si="16"/>
        <v>125</v>
      </c>
      <c r="B125" s="5" t="s">
        <v>44</v>
      </c>
      <c r="C125" s="17" t="s">
        <v>130</v>
      </c>
      <c r="D125" s="16"/>
      <c r="E125" s="16">
        <v>11</v>
      </c>
      <c r="F125" s="16">
        <f>677+80</f>
        <v>757</v>
      </c>
      <c r="G125" s="16">
        <f>791+72</f>
        <v>863</v>
      </c>
      <c r="H125" s="4">
        <f t="shared" si="15"/>
        <v>-106</v>
      </c>
    </row>
    <row r="126" spans="1:8" ht="15.75">
      <c r="A126">
        <f t="shared" si="16"/>
        <v>126</v>
      </c>
      <c r="B126" s="5" t="s">
        <v>36</v>
      </c>
      <c r="C126" s="17" t="s">
        <v>162</v>
      </c>
      <c r="D126" s="16"/>
      <c r="E126" s="16">
        <v>11</v>
      </c>
      <c r="F126" s="16">
        <f>747+61</f>
        <v>808</v>
      </c>
      <c r="G126" s="16">
        <f>846+73</f>
        <v>919</v>
      </c>
      <c r="H126" s="4">
        <f t="shared" si="15"/>
        <v>-111</v>
      </c>
    </row>
    <row r="127" spans="1:8" ht="16.5">
      <c r="A127">
        <f t="shared" si="16"/>
        <v>127</v>
      </c>
      <c r="B127" s="5" t="s">
        <v>32</v>
      </c>
      <c r="C127" s="20" t="s">
        <v>76</v>
      </c>
      <c r="D127" s="16"/>
      <c r="E127" s="16">
        <v>11</v>
      </c>
      <c r="F127" s="16">
        <f>756+64</f>
        <v>820</v>
      </c>
      <c r="G127" s="16">
        <f>860+76</f>
        <v>936</v>
      </c>
      <c r="H127" s="4">
        <f t="shared" si="15"/>
        <v>-116</v>
      </c>
    </row>
    <row r="128" spans="1:8" ht="15.75">
      <c r="A128">
        <f t="shared" si="16"/>
        <v>128</v>
      </c>
      <c r="B128" s="5" t="s">
        <v>44</v>
      </c>
      <c r="C128" s="17" t="s">
        <v>136</v>
      </c>
      <c r="D128" s="16"/>
      <c r="E128" s="16">
        <v>11</v>
      </c>
      <c r="F128" s="16">
        <f>685+71</f>
        <v>756</v>
      </c>
      <c r="G128" s="16">
        <f>793+83</f>
        <v>876</v>
      </c>
      <c r="H128" s="4">
        <f t="shared" si="15"/>
        <v>-120</v>
      </c>
    </row>
    <row r="129" spans="1:8" ht="16.5">
      <c r="A129">
        <f t="shared" si="16"/>
        <v>129</v>
      </c>
      <c r="B129" s="5" t="s">
        <v>21</v>
      </c>
      <c r="C129" s="20" t="s">
        <v>100</v>
      </c>
      <c r="D129" s="16"/>
      <c r="E129" s="16">
        <v>11</v>
      </c>
      <c r="F129" s="16">
        <f>601+89</f>
        <v>690</v>
      </c>
      <c r="G129" s="16">
        <f>741+72</f>
        <v>813</v>
      </c>
      <c r="H129" s="4">
        <f>F129-G129</f>
        <v>-123</v>
      </c>
    </row>
    <row r="130" spans="1:8" ht="16.5">
      <c r="A130">
        <f t="shared" si="16"/>
        <v>130</v>
      </c>
      <c r="B130" s="5" t="s">
        <v>21</v>
      </c>
      <c r="C130" s="20" t="s">
        <v>25</v>
      </c>
      <c r="D130" s="16"/>
      <c r="E130" s="16">
        <v>11</v>
      </c>
      <c r="F130" s="16">
        <f>718+85</f>
        <v>803</v>
      </c>
      <c r="G130" s="16">
        <v>936</v>
      </c>
      <c r="H130" s="4">
        <f aca="true" t="shared" si="17" ref="H130:H142">F130-G130</f>
        <v>-133</v>
      </c>
    </row>
    <row r="131" spans="1:8" ht="16.5">
      <c r="A131">
        <f aca="true" t="shared" si="18" ref="A131:A144">A130+1</f>
        <v>131</v>
      </c>
      <c r="B131" s="5" t="s">
        <v>10</v>
      </c>
      <c r="C131" s="20" t="s">
        <v>14</v>
      </c>
      <c r="D131" s="16"/>
      <c r="E131" s="16">
        <v>11</v>
      </c>
      <c r="F131" s="16">
        <f>734+83</f>
        <v>817</v>
      </c>
      <c r="G131" s="16">
        <f>844+108</f>
        <v>952</v>
      </c>
      <c r="H131" s="4">
        <f>F131-G131</f>
        <v>-135</v>
      </c>
    </row>
    <row r="132" spans="1:8" ht="16.5">
      <c r="A132">
        <f t="shared" si="18"/>
        <v>132</v>
      </c>
      <c r="B132" s="5" t="s">
        <v>32</v>
      </c>
      <c r="C132" s="21" t="s">
        <v>77</v>
      </c>
      <c r="D132" s="16"/>
      <c r="E132" s="16">
        <v>11</v>
      </c>
      <c r="F132" s="16">
        <v>804</v>
      </c>
      <c r="G132" s="16">
        <v>940</v>
      </c>
      <c r="H132" s="4">
        <f t="shared" si="15"/>
        <v>-136</v>
      </c>
    </row>
    <row r="133" spans="1:8" ht="15.75">
      <c r="A133">
        <f t="shared" si="18"/>
        <v>133</v>
      </c>
      <c r="B133" s="5" t="s">
        <v>28</v>
      </c>
      <c r="C133" s="17" t="s">
        <v>35</v>
      </c>
      <c r="D133" s="16"/>
      <c r="E133" s="16">
        <v>11</v>
      </c>
      <c r="F133" s="16">
        <f>747+60</f>
        <v>807</v>
      </c>
      <c r="G133" s="16">
        <f>849+101</f>
        <v>950</v>
      </c>
      <c r="H133" s="4">
        <f t="shared" si="17"/>
        <v>-143</v>
      </c>
    </row>
    <row r="134" spans="1:8" ht="16.5">
      <c r="A134">
        <f t="shared" si="18"/>
        <v>134</v>
      </c>
      <c r="B134" s="5" t="s">
        <v>49</v>
      </c>
      <c r="C134" s="21" t="s">
        <v>127</v>
      </c>
      <c r="D134" s="16"/>
      <c r="E134" s="16">
        <v>11</v>
      </c>
      <c r="F134" s="16">
        <f>753+71</f>
        <v>824</v>
      </c>
      <c r="G134" s="16">
        <f>884+85</f>
        <v>969</v>
      </c>
      <c r="H134" s="4">
        <f t="shared" si="17"/>
        <v>-145</v>
      </c>
    </row>
    <row r="135" spans="1:8" ht="16.5">
      <c r="A135">
        <f t="shared" si="18"/>
        <v>135</v>
      </c>
      <c r="B135" s="5" t="s">
        <v>10</v>
      </c>
      <c r="C135" s="21" t="s">
        <v>113</v>
      </c>
      <c r="D135" s="16"/>
      <c r="E135" s="16">
        <v>11</v>
      </c>
      <c r="F135" s="16">
        <f>714+70</f>
        <v>784</v>
      </c>
      <c r="G135" s="16">
        <f>851+87</f>
        <v>938</v>
      </c>
      <c r="H135" s="4">
        <f t="shared" si="17"/>
        <v>-154</v>
      </c>
    </row>
    <row r="136" spans="1:8" ht="16.5">
      <c r="A136">
        <f t="shared" si="18"/>
        <v>136</v>
      </c>
      <c r="B136" s="5" t="s">
        <v>28</v>
      </c>
      <c r="C136" s="20" t="s">
        <v>81</v>
      </c>
      <c r="D136" s="16"/>
      <c r="E136" s="16">
        <v>11</v>
      </c>
      <c r="F136" s="16">
        <f>689+75</f>
        <v>764</v>
      </c>
      <c r="G136" s="16">
        <f>836+83</f>
        <v>919</v>
      </c>
      <c r="H136" s="4">
        <f t="shared" si="17"/>
        <v>-155</v>
      </c>
    </row>
    <row r="137" spans="1:8" ht="16.5">
      <c r="A137">
        <f t="shared" si="18"/>
        <v>137</v>
      </c>
      <c r="B137" s="5" t="s">
        <v>24</v>
      </c>
      <c r="C137" s="21" t="s">
        <v>91</v>
      </c>
      <c r="D137" s="16"/>
      <c r="E137" s="16">
        <v>11</v>
      </c>
      <c r="F137" s="16">
        <f>670+69</f>
        <v>739</v>
      </c>
      <c r="G137" s="16">
        <f>824+75</f>
        <v>899</v>
      </c>
      <c r="H137" s="4">
        <f t="shared" si="17"/>
        <v>-160</v>
      </c>
    </row>
    <row r="138" spans="1:8" ht="16.5">
      <c r="A138">
        <f t="shared" si="18"/>
        <v>138</v>
      </c>
      <c r="B138" s="5" t="s">
        <v>50</v>
      </c>
      <c r="C138" s="20" t="s">
        <v>121</v>
      </c>
      <c r="D138" s="16"/>
      <c r="E138" s="16">
        <v>11</v>
      </c>
      <c r="F138" s="16">
        <f>648+78</f>
        <v>726</v>
      </c>
      <c r="G138" s="16">
        <f>775+116</f>
        <v>891</v>
      </c>
      <c r="H138" s="4">
        <f t="shared" si="17"/>
        <v>-165</v>
      </c>
    </row>
    <row r="139" spans="1:8" ht="16.5">
      <c r="A139">
        <f t="shared" si="18"/>
        <v>139</v>
      </c>
      <c r="B139" s="5" t="s">
        <v>49</v>
      </c>
      <c r="C139" s="31" t="s">
        <v>51</v>
      </c>
      <c r="D139" s="16"/>
      <c r="E139" s="16">
        <v>11</v>
      </c>
      <c r="F139" s="16">
        <f>708+85</f>
        <v>793</v>
      </c>
      <c r="G139" s="16">
        <f>891+71</f>
        <v>962</v>
      </c>
      <c r="H139" s="4">
        <f t="shared" si="17"/>
        <v>-169</v>
      </c>
    </row>
    <row r="140" spans="1:8" ht="16.5">
      <c r="A140">
        <f t="shared" si="18"/>
        <v>140</v>
      </c>
      <c r="B140" s="5" t="s">
        <v>44</v>
      </c>
      <c r="C140" s="21" t="s">
        <v>134</v>
      </c>
      <c r="D140" s="16"/>
      <c r="E140" s="16">
        <v>11</v>
      </c>
      <c r="F140" s="16">
        <f>733+72</f>
        <v>805</v>
      </c>
      <c r="G140" s="16">
        <f>918+80</f>
        <v>998</v>
      </c>
      <c r="H140" s="4">
        <f t="shared" si="17"/>
        <v>-193</v>
      </c>
    </row>
    <row r="141" spans="1:8" ht="16.5">
      <c r="A141">
        <f t="shared" si="18"/>
        <v>141</v>
      </c>
      <c r="B141" s="5" t="s">
        <v>17</v>
      </c>
      <c r="C141" s="29" t="s">
        <v>107</v>
      </c>
      <c r="D141" s="26"/>
      <c r="E141" s="26">
        <v>11</v>
      </c>
      <c r="F141" s="26">
        <f>654+50</f>
        <v>704</v>
      </c>
      <c r="G141" s="26">
        <f>833+72</f>
        <v>905</v>
      </c>
      <c r="H141" s="4">
        <f t="shared" si="17"/>
        <v>-201</v>
      </c>
    </row>
    <row r="142" spans="1:8" ht="16.5">
      <c r="A142">
        <f t="shared" si="18"/>
        <v>142</v>
      </c>
      <c r="B142" s="5" t="s">
        <v>50</v>
      </c>
      <c r="C142" s="21" t="s">
        <v>122</v>
      </c>
      <c r="D142" s="16"/>
      <c r="E142" s="16">
        <v>11</v>
      </c>
      <c r="F142" s="16">
        <f>670+81</f>
        <v>751</v>
      </c>
      <c r="G142" s="16">
        <f>858+113</f>
        <v>971</v>
      </c>
      <c r="H142" s="4">
        <f t="shared" si="17"/>
        <v>-220</v>
      </c>
    </row>
    <row r="143" spans="1:8" ht="16.5">
      <c r="A143">
        <f t="shared" si="18"/>
        <v>143</v>
      </c>
      <c r="B143" s="5" t="s">
        <v>21</v>
      </c>
      <c r="C143" s="21" t="s">
        <v>101</v>
      </c>
      <c r="D143" s="16"/>
      <c r="E143" s="16">
        <v>11</v>
      </c>
      <c r="F143" s="16">
        <f>720+72</f>
        <v>792</v>
      </c>
      <c r="G143" s="16">
        <f>944+89</f>
        <v>1033</v>
      </c>
      <c r="H143" s="4">
        <f>F143-G143</f>
        <v>-241</v>
      </c>
    </row>
    <row r="144" spans="1:8" ht="16.5">
      <c r="A144">
        <f t="shared" si="18"/>
        <v>144</v>
      </c>
      <c r="B144" s="5" t="s">
        <v>36</v>
      </c>
      <c r="C144" s="21" t="s">
        <v>163</v>
      </c>
      <c r="D144" s="16"/>
      <c r="E144" s="16">
        <v>11</v>
      </c>
      <c r="F144" s="16">
        <f>570+65</f>
        <v>635</v>
      </c>
      <c r="G144" s="16">
        <f>878+93</f>
        <v>971</v>
      </c>
      <c r="H144" s="4">
        <f>F144-G144</f>
        <v>-336</v>
      </c>
    </row>
    <row r="145" spans="2:8" ht="15.75">
      <c r="B145" s="5"/>
      <c r="D145" s="16"/>
      <c r="E145" s="3"/>
      <c r="F145" s="3"/>
      <c r="G145" s="3"/>
      <c r="H145" s="4"/>
    </row>
    <row r="146" spans="2:8" ht="15.75">
      <c r="B146" s="5"/>
      <c r="D146" s="16"/>
      <c r="E146" s="3"/>
      <c r="F146" s="3"/>
      <c r="G146" s="3"/>
      <c r="H146" s="4"/>
    </row>
    <row r="147" spans="2:8" ht="15.75">
      <c r="B147" s="5"/>
      <c r="D147" s="16"/>
      <c r="E147" s="3"/>
      <c r="F147" s="3"/>
      <c r="G147" s="3"/>
      <c r="H147" s="4"/>
    </row>
    <row r="148" spans="2:8" ht="15.75">
      <c r="B148" s="5"/>
      <c r="D148" s="16"/>
      <c r="E148" s="3"/>
      <c r="F148" s="3"/>
      <c r="G148" s="3"/>
      <c r="H148" s="4"/>
    </row>
    <row r="149" spans="2:8" ht="15.75">
      <c r="B149" s="5"/>
      <c r="D149" s="16"/>
      <c r="E149" s="3"/>
      <c r="F149" s="3"/>
      <c r="G149" s="3"/>
      <c r="H149" s="4"/>
    </row>
    <row r="150" spans="2:8" ht="15.75">
      <c r="B150" s="5"/>
      <c r="D150" s="16"/>
      <c r="E150" s="3"/>
      <c r="F150" s="3"/>
      <c r="G150" s="3"/>
      <c r="H150" s="4"/>
    </row>
    <row r="151" spans="2:8" ht="15.75">
      <c r="B151" s="5"/>
      <c r="D151" s="16"/>
      <c r="E151" s="3"/>
      <c r="F151" s="3"/>
      <c r="G151" s="3"/>
      <c r="H151" s="4"/>
    </row>
    <row r="152" spans="2:8" ht="15.75">
      <c r="B152" s="5"/>
      <c r="D152" s="16"/>
      <c r="E152" s="3"/>
      <c r="F152" s="3"/>
      <c r="G152" s="3"/>
      <c r="H152" s="4"/>
    </row>
    <row r="153" spans="2:8" ht="15.75">
      <c r="B153" s="5"/>
      <c r="D153" s="16"/>
      <c r="E153" s="3"/>
      <c r="F153" s="3"/>
      <c r="G153" s="3"/>
      <c r="H153" s="4"/>
    </row>
    <row r="154" spans="2:8" ht="15.75">
      <c r="B154" s="5"/>
      <c r="D154" s="16"/>
      <c r="E154" s="3"/>
      <c r="F154" s="3"/>
      <c r="G154" s="3"/>
      <c r="H154" s="4"/>
    </row>
    <row r="155" spans="2:8" ht="15.75">
      <c r="B155" s="5"/>
      <c r="D155" s="16"/>
      <c r="E155" s="3"/>
      <c r="F155" s="3"/>
      <c r="G155" s="3"/>
      <c r="H155" s="4"/>
    </row>
  </sheetData>
  <printOptions gridLines="1" horizontalCentered="1"/>
  <pageMargins left="0.7874015748031497" right="0.7874015748031497" top="0.45" bottom="0.85" header="0.2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selection activeCell="A1" sqref="A1"/>
    </sheetView>
  </sheetViews>
  <sheetFormatPr defaultColWidth="11.00390625" defaultRowHeight="15.75"/>
  <cols>
    <col min="1" max="1" width="3.875" style="3" customWidth="1"/>
    <col min="2" max="2" width="5.25390625" style="0" customWidth="1"/>
    <col min="3" max="3" width="17.625" style="0" customWidth="1"/>
    <col min="4" max="4" width="5.75390625" style="0" customWidth="1"/>
    <col min="5" max="5" width="4.625" style="0" customWidth="1"/>
    <col min="6" max="6" width="4.25390625" style="0" customWidth="1"/>
    <col min="7" max="7" width="7.00390625" style="0" customWidth="1"/>
    <col min="8" max="8" width="6.875" style="0" customWidth="1"/>
    <col min="9" max="9" width="8.375" style="0" customWidth="1"/>
    <col min="10" max="10" width="8.50390625" style="0" customWidth="1"/>
    <col min="11" max="11" width="7.875" style="0" customWidth="1"/>
    <col min="12" max="12" width="4.75390625" style="0" bestFit="1" customWidth="1"/>
  </cols>
  <sheetData>
    <row r="1" spans="1:12" ht="30">
      <c r="A1" s="8" t="s">
        <v>53</v>
      </c>
      <c r="B1" s="8" t="s">
        <v>0</v>
      </c>
      <c r="C1" s="7" t="s">
        <v>168</v>
      </c>
      <c r="D1" s="10" t="s">
        <v>1</v>
      </c>
      <c r="E1" s="10" t="s">
        <v>54</v>
      </c>
      <c r="F1" s="10" t="s">
        <v>2</v>
      </c>
      <c r="G1" s="10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6" t="s">
        <v>8</v>
      </c>
    </row>
    <row r="2" spans="1:12" ht="15.75">
      <c r="A2" s="16">
        <v>1</v>
      </c>
      <c r="B2" s="5" t="s">
        <v>10</v>
      </c>
      <c r="C2" s="19" t="s">
        <v>11</v>
      </c>
      <c r="D2" s="16">
        <f aca="true" t="shared" si="0" ref="D2:D33">E2+F2</f>
        <v>22</v>
      </c>
      <c r="E2" s="16">
        <v>11</v>
      </c>
      <c r="F2" s="16">
        <v>11</v>
      </c>
      <c r="G2" s="16">
        <v>0</v>
      </c>
      <c r="H2" s="16">
        <f>867+91</f>
        <v>958</v>
      </c>
      <c r="I2" s="16">
        <f>633+71</f>
        <v>704</v>
      </c>
      <c r="J2" s="11">
        <f aca="true" t="shared" si="1" ref="J2:J28">H2/E2</f>
        <v>87.0909090909091</v>
      </c>
      <c r="K2" s="11">
        <f aca="true" t="shared" si="2" ref="K2:K28">I2/E2</f>
        <v>64</v>
      </c>
      <c r="L2" s="4">
        <f aca="true" t="shared" si="3" ref="L2:L14">H2-I2</f>
        <v>254</v>
      </c>
    </row>
    <row r="3" spans="1:12" ht="15.75">
      <c r="A3" s="16">
        <f>A2+1</f>
        <v>2</v>
      </c>
      <c r="B3" s="5" t="s">
        <v>28</v>
      </c>
      <c r="C3" s="19" t="s">
        <v>58</v>
      </c>
      <c r="D3" s="16">
        <f t="shared" si="0"/>
        <v>22</v>
      </c>
      <c r="E3" s="16">
        <v>11</v>
      </c>
      <c r="F3" s="16">
        <v>11</v>
      </c>
      <c r="G3" s="16">
        <v>0</v>
      </c>
      <c r="H3" s="16">
        <f>747+101</f>
        <v>848</v>
      </c>
      <c r="I3" s="16">
        <f>653+60</f>
        <v>713</v>
      </c>
      <c r="J3" s="11">
        <f t="shared" si="1"/>
        <v>77.0909090909091</v>
      </c>
      <c r="K3" s="11">
        <f t="shared" si="2"/>
        <v>64.81818181818181</v>
      </c>
      <c r="L3" s="4">
        <f t="shared" si="3"/>
        <v>135</v>
      </c>
    </row>
    <row r="4" spans="1:12" ht="15.75">
      <c r="A4" s="16">
        <f aca="true" t="shared" si="4" ref="A4:A19">A3+1</f>
        <v>3</v>
      </c>
      <c r="B4" s="5" t="s">
        <v>21</v>
      </c>
      <c r="C4" s="19" t="s">
        <v>93</v>
      </c>
      <c r="D4" s="16">
        <f t="shared" si="0"/>
        <v>21</v>
      </c>
      <c r="E4" s="16">
        <v>11</v>
      </c>
      <c r="F4" s="16">
        <v>10</v>
      </c>
      <c r="G4" s="16">
        <v>1</v>
      </c>
      <c r="H4" s="16">
        <v>957</v>
      </c>
      <c r="I4" s="16">
        <f>685+74</f>
        <v>759</v>
      </c>
      <c r="J4" s="11">
        <f t="shared" si="1"/>
        <v>87</v>
      </c>
      <c r="K4" s="11">
        <f t="shared" si="2"/>
        <v>69</v>
      </c>
      <c r="L4" s="4">
        <f t="shared" si="3"/>
        <v>198</v>
      </c>
    </row>
    <row r="5" spans="1:12" ht="15.75">
      <c r="A5" s="16">
        <f t="shared" si="4"/>
        <v>4</v>
      </c>
      <c r="B5" s="5" t="s">
        <v>44</v>
      </c>
      <c r="C5" s="19" t="s">
        <v>64</v>
      </c>
      <c r="D5" s="16">
        <f t="shared" si="0"/>
        <v>21</v>
      </c>
      <c r="E5" s="16">
        <v>11</v>
      </c>
      <c r="F5" s="16">
        <v>10</v>
      </c>
      <c r="G5" s="16">
        <v>1</v>
      </c>
      <c r="H5" s="16">
        <f>902+89</f>
        <v>991</v>
      </c>
      <c r="I5" s="16">
        <f>727+85</f>
        <v>812</v>
      </c>
      <c r="J5" s="11">
        <f t="shared" si="1"/>
        <v>90.0909090909091</v>
      </c>
      <c r="K5" s="11">
        <f t="shared" si="2"/>
        <v>73.81818181818181</v>
      </c>
      <c r="L5" s="4">
        <f t="shared" si="3"/>
        <v>179</v>
      </c>
    </row>
    <row r="6" spans="1:12" ht="15.75">
      <c r="A6" s="16">
        <f t="shared" si="4"/>
        <v>5</v>
      </c>
      <c r="B6" s="5" t="s">
        <v>44</v>
      </c>
      <c r="C6" s="17" t="s">
        <v>128</v>
      </c>
      <c r="D6" s="16">
        <f t="shared" si="0"/>
        <v>21</v>
      </c>
      <c r="E6" s="16">
        <v>11</v>
      </c>
      <c r="F6" s="16">
        <v>10</v>
      </c>
      <c r="G6" s="16">
        <v>1</v>
      </c>
      <c r="H6" s="16">
        <f>863+85</f>
        <v>948</v>
      </c>
      <c r="I6" s="16">
        <f>697+89</f>
        <v>786</v>
      </c>
      <c r="J6" s="11">
        <f t="shared" si="1"/>
        <v>86.18181818181819</v>
      </c>
      <c r="K6" s="11">
        <f t="shared" si="2"/>
        <v>71.45454545454545</v>
      </c>
      <c r="L6" s="4">
        <f t="shared" si="3"/>
        <v>162</v>
      </c>
    </row>
    <row r="7" spans="1:12" ht="15.75">
      <c r="A7" s="16">
        <f t="shared" si="4"/>
        <v>6</v>
      </c>
      <c r="B7" s="5" t="s">
        <v>36</v>
      </c>
      <c r="C7" s="19" t="s">
        <v>157</v>
      </c>
      <c r="D7" s="16">
        <f t="shared" si="0"/>
        <v>21</v>
      </c>
      <c r="E7" s="16">
        <v>11</v>
      </c>
      <c r="F7" s="16">
        <v>10</v>
      </c>
      <c r="G7" s="16">
        <v>1</v>
      </c>
      <c r="H7" s="16">
        <f>872+82</f>
        <v>954</v>
      </c>
      <c r="I7" s="16">
        <f>749+76</f>
        <v>825</v>
      </c>
      <c r="J7" s="11">
        <f t="shared" si="1"/>
        <v>86.72727272727273</v>
      </c>
      <c r="K7" s="11">
        <f t="shared" si="2"/>
        <v>75</v>
      </c>
      <c r="L7" s="4">
        <f t="shared" si="3"/>
        <v>129</v>
      </c>
    </row>
    <row r="8" spans="1:12" ht="15.75">
      <c r="A8" s="16">
        <f t="shared" si="4"/>
        <v>7</v>
      </c>
      <c r="B8" s="5" t="s">
        <v>40</v>
      </c>
      <c r="C8" s="19" t="s">
        <v>137</v>
      </c>
      <c r="D8" s="16">
        <f t="shared" si="0"/>
        <v>21</v>
      </c>
      <c r="E8" s="16">
        <v>11</v>
      </c>
      <c r="F8" s="16">
        <v>10</v>
      </c>
      <c r="G8" s="16">
        <v>1</v>
      </c>
      <c r="H8" s="16">
        <f>823+64</f>
        <v>887</v>
      </c>
      <c r="I8" s="16">
        <f>693+70</f>
        <v>763</v>
      </c>
      <c r="J8" s="11">
        <f t="shared" si="1"/>
        <v>80.63636363636364</v>
      </c>
      <c r="K8" s="11">
        <f t="shared" si="2"/>
        <v>69.36363636363636</v>
      </c>
      <c r="L8" s="4">
        <f t="shared" si="3"/>
        <v>124</v>
      </c>
    </row>
    <row r="9" spans="1:12" ht="15.75">
      <c r="A9" s="16">
        <f t="shared" si="4"/>
        <v>8</v>
      </c>
      <c r="B9" s="5" t="s">
        <v>17</v>
      </c>
      <c r="C9" s="27" t="s">
        <v>55</v>
      </c>
      <c r="D9" s="26">
        <f t="shared" si="0"/>
        <v>21</v>
      </c>
      <c r="E9" s="26">
        <v>11</v>
      </c>
      <c r="F9" s="26">
        <v>10</v>
      </c>
      <c r="G9" s="26">
        <v>1</v>
      </c>
      <c r="H9" s="26">
        <f>797+108</f>
        <v>905</v>
      </c>
      <c r="I9" s="26">
        <f>685+98</f>
        <v>783</v>
      </c>
      <c r="J9" s="11">
        <f t="shared" si="1"/>
        <v>82.27272727272727</v>
      </c>
      <c r="K9" s="11">
        <f t="shared" si="2"/>
        <v>71.18181818181819</v>
      </c>
      <c r="L9" s="4">
        <f t="shared" si="3"/>
        <v>122</v>
      </c>
    </row>
    <row r="10" spans="1:12" ht="15.75">
      <c r="A10" s="16">
        <f t="shared" si="4"/>
        <v>9</v>
      </c>
      <c r="B10" s="5" t="s">
        <v>49</v>
      </c>
      <c r="C10" s="19" t="s">
        <v>123</v>
      </c>
      <c r="D10" s="16">
        <f t="shared" si="0"/>
        <v>21</v>
      </c>
      <c r="E10" s="16">
        <v>11</v>
      </c>
      <c r="F10" s="16">
        <v>10</v>
      </c>
      <c r="G10" s="16">
        <v>1</v>
      </c>
      <c r="H10" s="16">
        <f>858+96</f>
        <v>954</v>
      </c>
      <c r="I10" s="16">
        <f>783+79</f>
        <v>862</v>
      </c>
      <c r="J10" s="11">
        <f t="shared" si="1"/>
        <v>86.72727272727273</v>
      </c>
      <c r="K10" s="11">
        <f t="shared" si="2"/>
        <v>78.36363636363636</v>
      </c>
      <c r="L10" s="4">
        <f t="shared" si="3"/>
        <v>92</v>
      </c>
    </row>
    <row r="11" spans="1:12" ht="15.75">
      <c r="A11" s="16">
        <f t="shared" si="4"/>
        <v>10</v>
      </c>
      <c r="B11" s="5" t="s">
        <v>21</v>
      </c>
      <c r="C11" s="14" t="s">
        <v>13</v>
      </c>
      <c r="D11" s="16">
        <f t="shared" si="0"/>
        <v>20</v>
      </c>
      <c r="E11" s="16">
        <v>11</v>
      </c>
      <c r="F11" s="16">
        <v>9</v>
      </c>
      <c r="G11" s="16">
        <v>2</v>
      </c>
      <c r="H11" s="16">
        <f>872+88</f>
        <v>960</v>
      </c>
      <c r="I11" s="16">
        <f>685+69</f>
        <v>754</v>
      </c>
      <c r="J11" s="11">
        <f t="shared" si="1"/>
        <v>87.27272727272727</v>
      </c>
      <c r="K11" s="11">
        <f t="shared" si="2"/>
        <v>68.54545454545455</v>
      </c>
      <c r="L11" s="4">
        <f t="shared" si="3"/>
        <v>206</v>
      </c>
    </row>
    <row r="12" spans="1:12" ht="15.75">
      <c r="A12" s="16">
        <f t="shared" si="4"/>
        <v>11</v>
      </c>
      <c r="B12" s="5" t="s">
        <v>49</v>
      </c>
      <c r="C12" s="17" t="s">
        <v>164</v>
      </c>
      <c r="D12" s="16">
        <f t="shared" si="0"/>
        <v>20</v>
      </c>
      <c r="E12" s="16">
        <v>11</v>
      </c>
      <c r="F12" s="16">
        <v>9</v>
      </c>
      <c r="G12" s="16">
        <v>2</v>
      </c>
      <c r="H12" s="16">
        <f>890+89</f>
        <v>979</v>
      </c>
      <c r="I12" s="16">
        <f>739+62</f>
        <v>801</v>
      </c>
      <c r="J12" s="11">
        <f t="shared" si="1"/>
        <v>89</v>
      </c>
      <c r="K12" s="11">
        <f t="shared" si="2"/>
        <v>72.81818181818181</v>
      </c>
      <c r="L12" s="4">
        <f t="shared" si="3"/>
        <v>178</v>
      </c>
    </row>
    <row r="13" spans="1:12" ht="15.75">
      <c r="A13" s="16">
        <f t="shared" si="4"/>
        <v>12</v>
      </c>
      <c r="B13" s="5" t="s">
        <v>24</v>
      </c>
      <c r="C13" s="19" t="s">
        <v>30</v>
      </c>
      <c r="D13" s="16">
        <f t="shared" si="0"/>
        <v>20</v>
      </c>
      <c r="E13" s="16">
        <v>11</v>
      </c>
      <c r="F13" s="16">
        <v>9</v>
      </c>
      <c r="G13" s="16">
        <v>2</v>
      </c>
      <c r="H13" s="16">
        <f>795+74</f>
        <v>869</v>
      </c>
      <c r="I13" s="16">
        <f>632+64</f>
        <v>696</v>
      </c>
      <c r="J13" s="11">
        <f t="shared" si="1"/>
        <v>79</v>
      </c>
      <c r="K13" s="11">
        <f t="shared" si="2"/>
        <v>63.27272727272727</v>
      </c>
      <c r="L13" s="4">
        <f t="shared" si="3"/>
        <v>173</v>
      </c>
    </row>
    <row r="14" spans="1:12" ht="15.75">
      <c r="A14" s="16">
        <f t="shared" si="4"/>
        <v>13</v>
      </c>
      <c r="B14" s="5" t="s">
        <v>36</v>
      </c>
      <c r="C14" s="17" t="s">
        <v>29</v>
      </c>
      <c r="D14" s="16">
        <f t="shared" si="0"/>
        <v>20</v>
      </c>
      <c r="E14" s="16">
        <v>11</v>
      </c>
      <c r="F14" s="16">
        <v>9</v>
      </c>
      <c r="G14" s="16">
        <v>2</v>
      </c>
      <c r="H14" s="16">
        <f>786+80</f>
        <v>866</v>
      </c>
      <c r="I14" s="16">
        <f>653+59</f>
        <v>712</v>
      </c>
      <c r="J14" s="11">
        <f t="shared" si="1"/>
        <v>78.72727272727273</v>
      </c>
      <c r="K14" s="11">
        <f t="shared" si="2"/>
        <v>64.72727272727273</v>
      </c>
      <c r="L14" s="4">
        <f t="shared" si="3"/>
        <v>154</v>
      </c>
    </row>
    <row r="15" spans="1:12" ht="15.75">
      <c r="A15" s="16">
        <f t="shared" si="4"/>
        <v>14</v>
      </c>
      <c r="B15" s="5" t="s">
        <v>10</v>
      </c>
      <c r="C15" s="17" t="s">
        <v>12</v>
      </c>
      <c r="D15" s="16">
        <f t="shared" si="0"/>
        <v>20</v>
      </c>
      <c r="E15" s="16">
        <v>11</v>
      </c>
      <c r="F15" s="16">
        <v>9</v>
      </c>
      <c r="G15" s="16">
        <v>2</v>
      </c>
      <c r="H15" s="16">
        <f>976+108</f>
        <v>1084</v>
      </c>
      <c r="I15" s="16">
        <f>853+83</f>
        <v>936</v>
      </c>
      <c r="J15" s="11">
        <f t="shared" si="1"/>
        <v>98.54545454545455</v>
      </c>
      <c r="K15" s="11">
        <f t="shared" si="2"/>
        <v>85.0909090909091</v>
      </c>
      <c r="L15" s="4">
        <f aca="true" t="shared" si="5" ref="L15:L26">H15-I15</f>
        <v>148</v>
      </c>
    </row>
    <row r="16" spans="1:12" ht="15.75">
      <c r="A16" s="16">
        <f t="shared" si="4"/>
        <v>15</v>
      </c>
      <c r="B16" s="5" t="s">
        <v>36</v>
      </c>
      <c r="C16" s="17" t="s">
        <v>61</v>
      </c>
      <c r="D16" s="16">
        <f t="shared" si="0"/>
        <v>20</v>
      </c>
      <c r="E16" s="16">
        <v>11</v>
      </c>
      <c r="F16" s="16">
        <v>9</v>
      </c>
      <c r="G16" s="16">
        <v>2</v>
      </c>
      <c r="H16" s="16">
        <f>858+99</f>
        <v>957</v>
      </c>
      <c r="I16" s="16">
        <f>730+83</f>
        <v>813</v>
      </c>
      <c r="J16" s="11">
        <f t="shared" si="1"/>
        <v>87</v>
      </c>
      <c r="K16" s="11">
        <f t="shared" si="2"/>
        <v>73.9090909090909</v>
      </c>
      <c r="L16" s="4">
        <f t="shared" si="5"/>
        <v>144</v>
      </c>
    </row>
    <row r="17" spans="1:12" ht="15.75">
      <c r="A17" s="16">
        <f t="shared" si="4"/>
        <v>16</v>
      </c>
      <c r="B17" s="5" t="s">
        <v>50</v>
      </c>
      <c r="C17" s="17" t="s">
        <v>114</v>
      </c>
      <c r="D17" s="16">
        <f t="shared" si="0"/>
        <v>20</v>
      </c>
      <c r="E17" s="16">
        <v>11</v>
      </c>
      <c r="F17" s="16">
        <v>9</v>
      </c>
      <c r="G17" s="16">
        <v>2</v>
      </c>
      <c r="H17" s="16">
        <f>869+60</f>
        <v>929</v>
      </c>
      <c r="I17" s="16">
        <f>719+72</f>
        <v>791</v>
      </c>
      <c r="J17" s="11">
        <f t="shared" si="1"/>
        <v>84.45454545454545</v>
      </c>
      <c r="K17" s="11">
        <f t="shared" si="2"/>
        <v>71.9090909090909</v>
      </c>
      <c r="L17" s="4">
        <f t="shared" si="5"/>
        <v>138</v>
      </c>
    </row>
    <row r="18" spans="1:12" ht="15.75">
      <c r="A18" s="16">
        <f t="shared" si="4"/>
        <v>17</v>
      </c>
      <c r="B18" s="5" t="s">
        <v>50</v>
      </c>
      <c r="C18" s="19" t="s">
        <v>115</v>
      </c>
      <c r="D18" s="16">
        <f t="shared" si="0"/>
        <v>20</v>
      </c>
      <c r="E18" s="16">
        <v>11</v>
      </c>
      <c r="F18" s="16">
        <v>9</v>
      </c>
      <c r="G18" s="16">
        <v>2</v>
      </c>
      <c r="H18" s="16">
        <f>799+72</f>
        <v>871</v>
      </c>
      <c r="I18" s="16">
        <f>678+60</f>
        <v>738</v>
      </c>
      <c r="J18" s="11">
        <f t="shared" si="1"/>
        <v>79.18181818181819</v>
      </c>
      <c r="K18" s="11">
        <f t="shared" si="2"/>
        <v>67.0909090909091</v>
      </c>
      <c r="L18" s="4">
        <f t="shared" si="5"/>
        <v>133</v>
      </c>
    </row>
    <row r="19" spans="1:12" ht="15.75">
      <c r="A19" s="16">
        <f t="shared" si="4"/>
        <v>18</v>
      </c>
      <c r="B19" s="5" t="s">
        <v>32</v>
      </c>
      <c r="C19" s="17" t="s">
        <v>62</v>
      </c>
      <c r="D19" s="16">
        <f t="shared" si="0"/>
        <v>20</v>
      </c>
      <c r="E19" s="16">
        <v>11</v>
      </c>
      <c r="F19" s="16">
        <v>9</v>
      </c>
      <c r="G19" s="16">
        <v>2</v>
      </c>
      <c r="H19" s="16">
        <f>907+83</f>
        <v>990</v>
      </c>
      <c r="I19" s="16">
        <f>776+89</f>
        <v>865</v>
      </c>
      <c r="J19" s="11">
        <f t="shared" si="1"/>
        <v>90</v>
      </c>
      <c r="K19" s="11">
        <f t="shared" si="2"/>
        <v>78.63636363636364</v>
      </c>
      <c r="L19" s="4">
        <f t="shared" si="5"/>
        <v>125</v>
      </c>
    </row>
    <row r="20" spans="1:12" ht="15.75">
      <c r="A20" s="16">
        <f aca="true" t="shared" si="6" ref="A20:A35">A19+1</f>
        <v>19</v>
      </c>
      <c r="B20" s="5" t="s">
        <v>28</v>
      </c>
      <c r="C20" s="17" t="s">
        <v>33</v>
      </c>
      <c r="D20" s="16">
        <f t="shared" si="0"/>
        <v>20</v>
      </c>
      <c r="E20" s="16">
        <v>11</v>
      </c>
      <c r="F20" s="16">
        <v>9</v>
      </c>
      <c r="G20" s="16">
        <v>2</v>
      </c>
      <c r="H20" s="16">
        <f>805+76</f>
        <v>881</v>
      </c>
      <c r="I20" s="16">
        <f>705+66</f>
        <v>771</v>
      </c>
      <c r="J20" s="11">
        <f t="shared" si="1"/>
        <v>80.0909090909091</v>
      </c>
      <c r="K20" s="11">
        <f t="shared" si="2"/>
        <v>70.0909090909091</v>
      </c>
      <c r="L20" s="4">
        <f t="shared" si="5"/>
        <v>110</v>
      </c>
    </row>
    <row r="21" spans="1:12" ht="15.75">
      <c r="A21" s="16">
        <f t="shared" si="6"/>
        <v>20</v>
      </c>
      <c r="B21" s="5" t="s">
        <v>24</v>
      </c>
      <c r="C21" s="17" t="s">
        <v>59</v>
      </c>
      <c r="D21" s="16">
        <f t="shared" si="0"/>
        <v>20</v>
      </c>
      <c r="E21" s="16">
        <v>11</v>
      </c>
      <c r="F21" s="16">
        <v>9</v>
      </c>
      <c r="G21" s="16">
        <v>2</v>
      </c>
      <c r="H21" s="16">
        <f>768+93</f>
        <v>861</v>
      </c>
      <c r="I21" s="16">
        <f>697+73</f>
        <v>770</v>
      </c>
      <c r="J21" s="11">
        <f t="shared" si="1"/>
        <v>78.27272727272727</v>
      </c>
      <c r="K21" s="11">
        <f t="shared" si="2"/>
        <v>70</v>
      </c>
      <c r="L21" s="4">
        <f t="shared" si="5"/>
        <v>91</v>
      </c>
    </row>
    <row r="22" spans="1:12" ht="15.75">
      <c r="A22" s="16">
        <f t="shared" si="6"/>
        <v>21</v>
      </c>
      <c r="B22" s="5" t="s">
        <v>32</v>
      </c>
      <c r="C22" s="19" t="s">
        <v>71</v>
      </c>
      <c r="D22" s="16">
        <f t="shared" si="0"/>
        <v>20</v>
      </c>
      <c r="E22" s="16">
        <v>11</v>
      </c>
      <c r="F22" s="16">
        <v>9</v>
      </c>
      <c r="G22" s="16">
        <v>2</v>
      </c>
      <c r="H22" s="16">
        <f>834+89</f>
        <v>923</v>
      </c>
      <c r="I22" s="16">
        <f>751+83</f>
        <v>834</v>
      </c>
      <c r="J22" s="11">
        <f t="shared" si="1"/>
        <v>83.9090909090909</v>
      </c>
      <c r="K22" s="11">
        <f t="shared" si="2"/>
        <v>75.81818181818181</v>
      </c>
      <c r="L22" s="4">
        <f t="shared" si="5"/>
        <v>89</v>
      </c>
    </row>
    <row r="23" spans="1:12" ht="15.75">
      <c r="A23" s="16">
        <f t="shared" si="6"/>
        <v>22</v>
      </c>
      <c r="B23" s="5" t="s">
        <v>38</v>
      </c>
      <c r="C23" s="19" t="s">
        <v>148</v>
      </c>
      <c r="D23" s="16">
        <f t="shared" si="0"/>
        <v>20</v>
      </c>
      <c r="E23" s="16">
        <v>11</v>
      </c>
      <c r="F23" s="16">
        <v>9</v>
      </c>
      <c r="G23" s="16">
        <v>2</v>
      </c>
      <c r="H23" s="16">
        <f>715+67</f>
        <v>782</v>
      </c>
      <c r="I23" s="16">
        <f>680+58</f>
        <v>738</v>
      </c>
      <c r="J23" s="11">
        <f t="shared" si="1"/>
        <v>71.0909090909091</v>
      </c>
      <c r="K23" s="11">
        <f t="shared" si="2"/>
        <v>67.0909090909091</v>
      </c>
      <c r="L23" s="4">
        <f t="shared" si="5"/>
        <v>44</v>
      </c>
    </row>
    <row r="24" spans="1:12" ht="15.75">
      <c r="A24" s="16">
        <f t="shared" si="6"/>
        <v>23</v>
      </c>
      <c r="B24" s="5" t="s">
        <v>40</v>
      </c>
      <c r="C24" s="17" t="s">
        <v>138</v>
      </c>
      <c r="D24" s="16">
        <f t="shared" si="0"/>
        <v>20</v>
      </c>
      <c r="E24" s="16">
        <v>11</v>
      </c>
      <c r="F24" s="16">
        <v>9</v>
      </c>
      <c r="G24" s="16">
        <v>2</v>
      </c>
      <c r="H24" s="16">
        <f>778+70</f>
        <v>848</v>
      </c>
      <c r="I24" s="16">
        <f>750+64</f>
        <v>814</v>
      </c>
      <c r="J24" s="11">
        <f t="shared" si="1"/>
        <v>77.0909090909091</v>
      </c>
      <c r="K24" s="11">
        <f t="shared" si="2"/>
        <v>74</v>
      </c>
      <c r="L24" s="4">
        <f t="shared" si="5"/>
        <v>34</v>
      </c>
    </row>
    <row r="25" spans="1:12" ht="15.75">
      <c r="A25" s="16">
        <f t="shared" si="6"/>
        <v>24</v>
      </c>
      <c r="B25" s="5" t="s">
        <v>32</v>
      </c>
      <c r="C25" s="17" t="s">
        <v>72</v>
      </c>
      <c r="D25" s="16">
        <f t="shared" si="0"/>
        <v>19</v>
      </c>
      <c r="E25" s="16">
        <v>11</v>
      </c>
      <c r="F25" s="16">
        <v>8</v>
      </c>
      <c r="G25" s="16">
        <v>3</v>
      </c>
      <c r="H25" s="16">
        <f>826+70</f>
        <v>896</v>
      </c>
      <c r="I25" s="16">
        <f>681+73</f>
        <v>754</v>
      </c>
      <c r="J25" s="11">
        <f t="shared" si="1"/>
        <v>81.45454545454545</v>
      </c>
      <c r="K25" s="11">
        <f t="shared" si="2"/>
        <v>68.54545454545455</v>
      </c>
      <c r="L25" s="4">
        <f t="shared" si="5"/>
        <v>142</v>
      </c>
    </row>
    <row r="26" spans="1:12" ht="15.75">
      <c r="A26" s="16">
        <f t="shared" si="6"/>
        <v>25</v>
      </c>
      <c r="B26" s="5" t="s">
        <v>38</v>
      </c>
      <c r="C26" s="17" t="s">
        <v>66</v>
      </c>
      <c r="D26" s="16">
        <f t="shared" si="0"/>
        <v>19</v>
      </c>
      <c r="E26" s="16">
        <v>11</v>
      </c>
      <c r="F26" s="16">
        <v>8</v>
      </c>
      <c r="G26" s="16">
        <v>3</v>
      </c>
      <c r="H26" s="16">
        <f>828+87</f>
        <v>915</v>
      </c>
      <c r="I26" s="16">
        <f>715+64</f>
        <v>779</v>
      </c>
      <c r="J26" s="11">
        <f t="shared" si="1"/>
        <v>83.18181818181819</v>
      </c>
      <c r="K26" s="11">
        <f t="shared" si="2"/>
        <v>70.81818181818181</v>
      </c>
      <c r="L26" s="4">
        <f t="shared" si="5"/>
        <v>136</v>
      </c>
    </row>
    <row r="27" spans="1:12" ht="15.75">
      <c r="A27" s="16">
        <f t="shared" si="6"/>
        <v>26</v>
      </c>
      <c r="B27" s="5" t="s">
        <v>38</v>
      </c>
      <c r="C27" s="17" t="s">
        <v>146</v>
      </c>
      <c r="D27" s="16">
        <f t="shared" si="0"/>
        <v>19</v>
      </c>
      <c r="E27" s="16">
        <v>11</v>
      </c>
      <c r="F27" s="16">
        <v>8</v>
      </c>
      <c r="G27" s="16">
        <v>3</v>
      </c>
      <c r="H27" s="16">
        <f>820+58</f>
        <v>878</v>
      </c>
      <c r="I27" s="16">
        <f>683+67</f>
        <v>750</v>
      </c>
      <c r="J27" s="11">
        <f t="shared" si="1"/>
        <v>79.81818181818181</v>
      </c>
      <c r="K27" s="11">
        <f t="shared" si="2"/>
        <v>68.18181818181819</v>
      </c>
      <c r="L27" s="4">
        <f>H27-I27</f>
        <v>128</v>
      </c>
    </row>
    <row r="28" spans="1:12" ht="15.75">
      <c r="A28" s="16">
        <f t="shared" si="6"/>
        <v>27</v>
      </c>
      <c r="B28" s="5" t="s">
        <v>17</v>
      </c>
      <c r="C28" s="25" t="s">
        <v>102</v>
      </c>
      <c r="D28" s="26">
        <f t="shared" si="0"/>
        <v>19</v>
      </c>
      <c r="E28" s="26">
        <v>11</v>
      </c>
      <c r="F28" s="26">
        <v>8</v>
      </c>
      <c r="G28" s="26">
        <v>3</v>
      </c>
      <c r="H28" s="26">
        <f>773+74</f>
        <v>847</v>
      </c>
      <c r="I28" s="26">
        <f>667+56</f>
        <v>723</v>
      </c>
      <c r="J28" s="11">
        <f t="shared" si="1"/>
        <v>77</v>
      </c>
      <c r="K28" s="11">
        <f t="shared" si="2"/>
        <v>65.72727272727273</v>
      </c>
      <c r="L28" s="4">
        <f aca="true" t="shared" si="7" ref="L28:L39">H28-I28</f>
        <v>124</v>
      </c>
    </row>
    <row r="29" spans="1:12" ht="15.75">
      <c r="A29" s="16">
        <f t="shared" si="6"/>
        <v>28</v>
      </c>
      <c r="B29" s="5" t="s">
        <v>17</v>
      </c>
      <c r="C29" s="25" t="s">
        <v>16</v>
      </c>
      <c r="D29" s="26">
        <f t="shared" si="0"/>
        <v>19</v>
      </c>
      <c r="E29" s="26">
        <v>11</v>
      </c>
      <c r="F29" s="26">
        <v>8</v>
      </c>
      <c r="G29" s="26">
        <v>3</v>
      </c>
      <c r="H29" s="26">
        <f>825+98</f>
        <v>923</v>
      </c>
      <c r="I29" s="26">
        <f>701+108</f>
        <v>809</v>
      </c>
      <c r="J29" s="11">
        <f aca="true" t="shared" si="8" ref="J29:J39">H29/E29</f>
        <v>83.9090909090909</v>
      </c>
      <c r="K29" s="11">
        <f aca="true" t="shared" si="9" ref="K29:K39">I29/E29</f>
        <v>73.54545454545455</v>
      </c>
      <c r="L29" s="4">
        <f t="shared" si="7"/>
        <v>114</v>
      </c>
    </row>
    <row r="30" spans="1:12" ht="15.75">
      <c r="A30" s="16">
        <f t="shared" si="6"/>
        <v>29</v>
      </c>
      <c r="B30" s="5" t="s">
        <v>21</v>
      </c>
      <c r="C30" s="17" t="s">
        <v>95</v>
      </c>
      <c r="D30" s="16">
        <f t="shared" si="0"/>
        <v>19</v>
      </c>
      <c r="E30" s="16">
        <v>11</v>
      </c>
      <c r="F30" s="16">
        <v>8</v>
      </c>
      <c r="G30" s="16">
        <v>3</v>
      </c>
      <c r="H30" s="16">
        <v>920</v>
      </c>
      <c r="I30" s="16">
        <f>732+85</f>
        <v>817</v>
      </c>
      <c r="J30" s="11">
        <f t="shared" si="8"/>
        <v>83.63636363636364</v>
      </c>
      <c r="K30" s="11">
        <f t="shared" si="9"/>
        <v>74.27272727272727</v>
      </c>
      <c r="L30" s="4">
        <f t="shared" si="7"/>
        <v>103</v>
      </c>
    </row>
    <row r="31" spans="1:12" ht="15.75">
      <c r="A31" s="16">
        <f t="shared" si="6"/>
        <v>30</v>
      </c>
      <c r="B31" s="5" t="s">
        <v>40</v>
      </c>
      <c r="C31" s="17" t="s">
        <v>139</v>
      </c>
      <c r="D31" s="16">
        <f t="shared" si="0"/>
        <v>19</v>
      </c>
      <c r="E31" s="16">
        <v>11</v>
      </c>
      <c r="F31" s="16">
        <v>8</v>
      </c>
      <c r="G31" s="16">
        <v>3</v>
      </c>
      <c r="H31" s="16">
        <v>918</v>
      </c>
      <c r="I31" s="16">
        <v>818</v>
      </c>
      <c r="J31" s="11">
        <f t="shared" si="8"/>
        <v>83.45454545454545</v>
      </c>
      <c r="K31" s="11">
        <f t="shared" si="9"/>
        <v>74.36363636363636</v>
      </c>
      <c r="L31" s="4">
        <f t="shared" si="7"/>
        <v>100</v>
      </c>
    </row>
    <row r="32" spans="1:12" ht="15.75">
      <c r="A32" s="16">
        <f t="shared" si="6"/>
        <v>31</v>
      </c>
      <c r="B32" s="5" t="s">
        <v>24</v>
      </c>
      <c r="C32" s="17" t="s">
        <v>86</v>
      </c>
      <c r="D32" s="16">
        <f t="shared" si="0"/>
        <v>19</v>
      </c>
      <c r="E32" s="16">
        <v>11</v>
      </c>
      <c r="F32" s="16">
        <v>8</v>
      </c>
      <c r="G32" s="16">
        <v>3</v>
      </c>
      <c r="H32" s="16">
        <f>753+107</f>
        <v>860</v>
      </c>
      <c r="I32" s="16">
        <f>693+69</f>
        <v>762</v>
      </c>
      <c r="J32" s="11">
        <f t="shared" si="8"/>
        <v>78.18181818181819</v>
      </c>
      <c r="K32" s="11">
        <f t="shared" si="9"/>
        <v>69.27272727272727</v>
      </c>
      <c r="L32" s="4">
        <f t="shared" si="7"/>
        <v>98</v>
      </c>
    </row>
    <row r="33" spans="1:12" ht="15.75">
      <c r="A33" s="16">
        <f t="shared" si="6"/>
        <v>32</v>
      </c>
      <c r="B33" s="5" t="s">
        <v>50</v>
      </c>
      <c r="C33" s="17" t="s">
        <v>69</v>
      </c>
      <c r="D33" s="16">
        <f t="shared" si="0"/>
        <v>19</v>
      </c>
      <c r="E33" s="16">
        <v>11</v>
      </c>
      <c r="F33" s="16">
        <v>8</v>
      </c>
      <c r="G33" s="16">
        <v>3</v>
      </c>
      <c r="H33" s="16">
        <f>806+90</f>
        <v>896</v>
      </c>
      <c r="I33" s="16">
        <f>742+68</f>
        <v>810</v>
      </c>
      <c r="J33" s="11">
        <f t="shared" si="8"/>
        <v>81.45454545454545</v>
      </c>
      <c r="K33" s="11">
        <f t="shared" si="9"/>
        <v>73.63636363636364</v>
      </c>
      <c r="L33" s="4">
        <f t="shared" si="7"/>
        <v>86</v>
      </c>
    </row>
    <row r="34" spans="1:12" ht="15.75">
      <c r="A34" s="16">
        <f t="shared" si="6"/>
        <v>33</v>
      </c>
      <c r="B34" s="5" t="s">
        <v>24</v>
      </c>
      <c r="C34" s="17" t="s">
        <v>84</v>
      </c>
      <c r="D34" s="16">
        <f aca="true" t="shared" si="10" ref="D34:D56">E34+F34</f>
        <v>19</v>
      </c>
      <c r="E34" s="16">
        <v>11</v>
      </c>
      <c r="F34" s="16">
        <v>8</v>
      </c>
      <c r="G34" s="16">
        <v>3</v>
      </c>
      <c r="H34" s="16">
        <f>837+81</f>
        <v>918</v>
      </c>
      <c r="I34" s="16">
        <f>779+76</f>
        <v>855</v>
      </c>
      <c r="J34" s="11">
        <f t="shared" si="8"/>
        <v>83.45454545454545</v>
      </c>
      <c r="K34" s="11">
        <f t="shared" si="9"/>
        <v>77.72727272727273</v>
      </c>
      <c r="L34" s="4">
        <f t="shared" si="7"/>
        <v>63</v>
      </c>
    </row>
    <row r="35" spans="1:12" ht="15.75">
      <c r="A35" s="16">
        <f t="shared" si="6"/>
        <v>34</v>
      </c>
      <c r="B35" s="5" t="s">
        <v>40</v>
      </c>
      <c r="C35" s="17" t="s">
        <v>43</v>
      </c>
      <c r="D35" s="16">
        <f t="shared" si="10"/>
        <v>19</v>
      </c>
      <c r="E35" s="16">
        <v>11</v>
      </c>
      <c r="F35" s="16">
        <v>8</v>
      </c>
      <c r="G35" s="16">
        <v>3</v>
      </c>
      <c r="H35" s="16">
        <f>776+77</f>
        <v>853</v>
      </c>
      <c r="I35" s="16">
        <f>715+93</f>
        <v>808</v>
      </c>
      <c r="J35" s="11">
        <f t="shared" si="8"/>
        <v>77.54545454545455</v>
      </c>
      <c r="K35" s="11">
        <f t="shared" si="9"/>
        <v>73.45454545454545</v>
      </c>
      <c r="L35" s="4">
        <f t="shared" si="7"/>
        <v>45</v>
      </c>
    </row>
    <row r="36" spans="1:12" ht="15.75">
      <c r="A36" s="16">
        <f aca="true" t="shared" si="11" ref="A36:A51">A35+1</f>
        <v>35</v>
      </c>
      <c r="B36" s="5" t="s">
        <v>28</v>
      </c>
      <c r="C36" s="17" t="s">
        <v>34</v>
      </c>
      <c r="D36" s="16">
        <f t="shared" si="10"/>
        <v>19</v>
      </c>
      <c r="E36" s="16">
        <v>11</v>
      </c>
      <c r="F36" s="16">
        <v>8</v>
      </c>
      <c r="G36" s="16">
        <v>3</v>
      </c>
      <c r="H36" s="16">
        <f>881+83</f>
        <v>964</v>
      </c>
      <c r="I36" s="16">
        <f>848+75</f>
        <v>923</v>
      </c>
      <c r="J36" s="11">
        <f t="shared" si="8"/>
        <v>87.63636363636364</v>
      </c>
      <c r="K36" s="11">
        <f t="shared" si="9"/>
        <v>83.9090909090909</v>
      </c>
      <c r="L36" s="4">
        <f t="shared" si="7"/>
        <v>41</v>
      </c>
    </row>
    <row r="37" spans="1:12" ht="15.75">
      <c r="A37" s="16">
        <f t="shared" si="11"/>
        <v>36</v>
      </c>
      <c r="B37" s="5" t="s">
        <v>44</v>
      </c>
      <c r="C37" s="17" t="s">
        <v>133</v>
      </c>
      <c r="D37" s="16">
        <f t="shared" si="10"/>
        <v>19</v>
      </c>
      <c r="E37" s="16">
        <v>11</v>
      </c>
      <c r="F37" s="16">
        <v>8</v>
      </c>
      <c r="G37" s="16">
        <v>3</v>
      </c>
      <c r="H37" s="16">
        <f>781+73</f>
        <v>854</v>
      </c>
      <c r="I37" s="16">
        <f>745+68</f>
        <v>813</v>
      </c>
      <c r="J37" s="11">
        <f t="shared" si="8"/>
        <v>77.63636363636364</v>
      </c>
      <c r="K37" s="11">
        <f t="shared" si="9"/>
        <v>73.9090909090909</v>
      </c>
      <c r="L37" s="4">
        <f t="shared" si="7"/>
        <v>41</v>
      </c>
    </row>
    <row r="38" spans="1:12" ht="15.75">
      <c r="A38" s="16">
        <f t="shared" si="11"/>
        <v>37</v>
      </c>
      <c r="B38" s="5" t="s">
        <v>44</v>
      </c>
      <c r="C38" s="17" t="s">
        <v>129</v>
      </c>
      <c r="D38" s="16">
        <f t="shared" si="10"/>
        <v>19</v>
      </c>
      <c r="E38" s="16">
        <v>11</v>
      </c>
      <c r="F38" s="16">
        <v>8</v>
      </c>
      <c r="G38" s="16">
        <v>3</v>
      </c>
      <c r="H38" s="16">
        <f>844+81</f>
        <v>925</v>
      </c>
      <c r="I38" s="16">
        <f>784+112</f>
        <v>896</v>
      </c>
      <c r="J38" s="11">
        <f t="shared" si="8"/>
        <v>84.0909090909091</v>
      </c>
      <c r="K38" s="11">
        <f t="shared" si="9"/>
        <v>81.45454545454545</v>
      </c>
      <c r="L38" s="4">
        <f t="shared" si="7"/>
        <v>29</v>
      </c>
    </row>
    <row r="39" spans="1:12" ht="15.75">
      <c r="A39" s="16">
        <f t="shared" si="11"/>
        <v>38</v>
      </c>
      <c r="B39" s="5" t="s">
        <v>17</v>
      </c>
      <c r="C39" s="25" t="s">
        <v>56</v>
      </c>
      <c r="D39" s="26">
        <f t="shared" si="10"/>
        <v>18</v>
      </c>
      <c r="E39" s="26">
        <v>11</v>
      </c>
      <c r="F39" s="26">
        <v>7</v>
      </c>
      <c r="G39" s="26">
        <v>4</v>
      </c>
      <c r="H39" s="26">
        <f>839+74</f>
        <v>913</v>
      </c>
      <c r="I39" s="26">
        <f>705+85</f>
        <v>790</v>
      </c>
      <c r="J39" s="11">
        <f t="shared" si="8"/>
        <v>83</v>
      </c>
      <c r="K39" s="11">
        <f t="shared" si="9"/>
        <v>71.81818181818181</v>
      </c>
      <c r="L39" s="4">
        <f t="shared" si="7"/>
        <v>123</v>
      </c>
    </row>
    <row r="40" spans="1:12" ht="15.75">
      <c r="A40" s="16">
        <f t="shared" si="11"/>
        <v>39</v>
      </c>
      <c r="B40" s="5" t="s">
        <v>36</v>
      </c>
      <c r="C40" s="17" t="s">
        <v>158</v>
      </c>
      <c r="D40" s="16">
        <f t="shared" si="10"/>
        <v>18</v>
      </c>
      <c r="E40" s="16">
        <v>11</v>
      </c>
      <c r="F40" s="16">
        <v>7</v>
      </c>
      <c r="G40" s="16">
        <v>4</v>
      </c>
      <c r="H40" s="16">
        <f>822+88</f>
        <v>910</v>
      </c>
      <c r="I40" s="16">
        <f>708+83</f>
        <v>791</v>
      </c>
      <c r="J40" s="11">
        <f>H40/E40</f>
        <v>82.72727272727273</v>
      </c>
      <c r="K40" s="11">
        <f>I40/E40</f>
        <v>71.9090909090909</v>
      </c>
      <c r="L40" s="4">
        <f>H40-I40</f>
        <v>119</v>
      </c>
    </row>
    <row r="41" spans="1:12" ht="15.75">
      <c r="A41" s="16">
        <f t="shared" si="11"/>
        <v>40</v>
      </c>
      <c r="B41" s="5" t="s">
        <v>49</v>
      </c>
      <c r="C41" s="17" t="s">
        <v>46</v>
      </c>
      <c r="D41" s="16">
        <f t="shared" si="10"/>
        <v>18</v>
      </c>
      <c r="E41" s="16">
        <v>11</v>
      </c>
      <c r="F41" s="16">
        <v>7</v>
      </c>
      <c r="G41" s="16">
        <v>4</v>
      </c>
      <c r="H41" s="16">
        <f>873+81</f>
        <v>954</v>
      </c>
      <c r="I41" s="16">
        <f>762+78</f>
        <v>840</v>
      </c>
      <c r="J41" s="11">
        <f>H41/E41</f>
        <v>86.72727272727273</v>
      </c>
      <c r="K41" s="11">
        <f>I41/E41</f>
        <v>76.36363636363636</v>
      </c>
      <c r="L41" s="4">
        <f aca="true" t="shared" si="12" ref="L41:L52">H41-I41</f>
        <v>114</v>
      </c>
    </row>
    <row r="42" spans="1:12" ht="15.75">
      <c r="A42" s="16">
        <f t="shared" si="11"/>
        <v>41</v>
      </c>
      <c r="B42" s="5" t="s">
        <v>49</v>
      </c>
      <c r="C42" s="17" t="s">
        <v>165</v>
      </c>
      <c r="D42" s="16">
        <f t="shared" si="10"/>
        <v>18</v>
      </c>
      <c r="E42" s="16">
        <v>11</v>
      </c>
      <c r="F42" s="16">
        <v>7</v>
      </c>
      <c r="G42" s="16">
        <v>4</v>
      </c>
      <c r="H42" s="16">
        <f>831+110</f>
        <v>941</v>
      </c>
      <c r="I42" s="16">
        <f>757+95</f>
        <v>852</v>
      </c>
      <c r="J42" s="11">
        <f aca="true" t="shared" si="13" ref="J42:J52">H42/E42</f>
        <v>85.54545454545455</v>
      </c>
      <c r="K42" s="11">
        <f aca="true" t="shared" si="14" ref="K42:K52">I42/E42</f>
        <v>77.45454545454545</v>
      </c>
      <c r="L42" s="4">
        <f t="shared" si="12"/>
        <v>89</v>
      </c>
    </row>
    <row r="43" spans="1:12" ht="15.75">
      <c r="A43" s="16">
        <f t="shared" si="11"/>
        <v>42</v>
      </c>
      <c r="B43" s="5" t="s">
        <v>21</v>
      </c>
      <c r="C43" s="17" t="s">
        <v>94</v>
      </c>
      <c r="D43" s="16">
        <f t="shared" si="10"/>
        <v>18</v>
      </c>
      <c r="E43" s="16">
        <v>11</v>
      </c>
      <c r="F43" s="16">
        <v>7</v>
      </c>
      <c r="G43" s="16">
        <v>4</v>
      </c>
      <c r="H43" s="16">
        <f>838+74</f>
        <v>912</v>
      </c>
      <c r="I43" s="16">
        <v>832</v>
      </c>
      <c r="J43" s="11">
        <f t="shared" si="13"/>
        <v>82.9090909090909</v>
      </c>
      <c r="K43" s="11">
        <f t="shared" si="14"/>
        <v>75.63636363636364</v>
      </c>
      <c r="L43" s="4">
        <f t="shared" si="12"/>
        <v>80</v>
      </c>
    </row>
    <row r="44" spans="1:12" ht="15.75">
      <c r="A44" s="16">
        <f t="shared" si="11"/>
        <v>43</v>
      </c>
      <c r="B44" s="5" t="s">
        <v>32</v>
      </c>
      <c r="C44" s="17" t="s">
        <v>63</v>
      </c>
      <c r="D44" s="16">
        <f t="shared" si="10"/>
        <v>18</v>
      </c>
      <c r="E44" s="16">
        <v>11</v>
      </c>
      <c r="F44" s="16">
        <v>7</v>
      </c>
      <c r="G44" s="16">
        <v>4</v>
      </c>
      <c r="H44" s="16">
        <f>729+67</f>
        <v>796</v>
      </c>
      <c r="I44" s="16">
        <f>660+59</f>
        <v>719</v>
      </c>
      <c r="J44" s="11">
        <f t="shared" si="13"/>
        <v>72.36363636363636</v>
      </c>
      <c r="K44" s="11">
        <f t="shared" si="14"/>
        <v>65.36363636363636</v>
      </c>
      <c r="L44" s="4">
        <f t="shared" si="12"/>
        <v>77</v>
      </c>
    </row>
    <row r="45" spans="1:12" ht="15.75">
      <c r="A45" s="16">
        <f t="shared" si="11"/>
        <v>44</v>
      </c>
      <c r="B45" s="5" t="s">
        <v>10</v>
      </c>
      <c r="C45" s="17" t="s">
        <v>108</v>
      </c>
      <c r="D45" s="16">
        <f t="shared" si="10"/>
        <v>18</v>
      </c>
      <c r="E45" s="16">
        <v>11</v>
      </c>
      <c r="F45" s="16">
        <v>7</v>
      </c>
      <c r="G45" s="16">
        <v>4</v>
      </c>
      <c r="H45" s="16">
        <f>892+79</f>
        <v>971</v>
      </c>
      <c r="I45" s="16">
        <f>843+54</f>
        <v>897</v>
      </c>
      <c r="J45" s="11">
        <f t="shared" si="13"/>
        <v>88.27272727272727</v>
      </c>
      <c r="K45" s="11">
        <f t="shared" si="14"/>
        <v>81.54545454545455</v>
      </c>
      <c r="L45" s="4">
        <f t="shared" si="12"/>
        <v>74</v>
      </c>
    </row>
    <row r="46" spans="1:12" ht="15.75">
      <c r="A46" s="16">
        <f t="shared" si="11"/>
        <v>45</v>
      </c>
      <c r="B46" s="5" t="s">
        <v>36</v>
      </c>
      <c r="C46" s="17" t="s">
        <v>67</v>
      </c>
      <c r="D46" s="16">
        <f t="shared" si="10"/>
        <v>18</v>
      </c>
      <c r="E46" s="16">
        <v>11</v>
      </c>
      <c r="F46" s="16">
        <v>7</v>
      </c>
      <c r="G46" s="16">
        <v>4</v>
      </c>
      <c r="H46" s="16">
        <f>798+83</f>
        <v>881</v>
      </c>
      <c r="I46" s="16">
        <f>721+88</f>
        <v>809</v>
      </c>
      <c r="J46" s="11">
        <f t="shared" si="13"/>
        <v>80.0909090909091</v>
      </c>
      <c r="K46" s="11">
        <f t="shared" si="14"/>
        <v>73.54545454545455</v>
      </c>
      <c r="L46" s="4">
        <f t="shared" si="12"/>
        <v>72</v>
      </c>
    </row>
    <row r="47" spans="1:12" ht="15.75">
      <c r="A47" s="16">
        <f t="shared" si="11"/>
        <v>46</v>
      </c>
      <c r="B47" s="5" t="s">
        <v>40</v>
      </c>
      <c r="C47" s="17" t="s">
        <v>141</v>
      </c>
      <c r="D47" s="16">
        <f t="shared" si="10"/>
        <v>18</v>
      </c>
      <c r="E47" s="16">
        <v>11</v>
      </c>
      <c r="F47" s="16">
        <v>7</v>
      </c>
      <c r="G47" s="16">
        <v>4</v>
      </c>
      <c r="H47" s="16">
        <f>852+93</f>
        <v>945</v>
      </c>
      <c r="I47" s="16">
        <f>804+77</f>
        <v>881</v>
      </c>
      <c r="J47" s="11">
        <f t="shared" si="13"/>
        <v>85.9090909090909</v>
      </c>
      <c r="K47" s="11">
        <f t="shared" si="14"/>
        <v>80.0909090909091</v>
      </c>
      <c r="L47" s="4">
        <f t="shared" si="12"/>
        <v>64</v>
      </c>
    </row>
    <row r="48" spans="1:12" ht="15.75">
      <c r="A48" s="16">
        <f t="shared" si="11"/>
        <v>47</v>
      </c>
      <c r="B48" s="5" t="s">
        <v>28</v>
      </c>
      <c r="C48" s="17" t="s">
        <v>27</v>
      </c>
      <c r="D48" s="16">
        <f t="shared" si="10"/>
        <v>18</v>
      </c>
      <c r="E48" s="16">
        <v>11</v>
      </c>
      <c r="F48" s="16">
        <v>7</v>
      </c>
      <c r="G48" s="16">
        <v>4</v>
      </c>
      <c r="H48" s="16">
        <f>854+80</f>
        <v>934</v>
      </c>
      <c r="I48" s="16">
        <f>802+71</f>
        <v>873</v>
      </c>
      <c r="J48" s="11">
        <f t="shared" si="13"/>
        <v>84.9090909090909</v>
      </c>
      <c r="K48" s="11">
        <f t="shared" si="14"/>
        <v>79.36363636363636</v>
      </c>
      <c r="L48" s="4">
        <f t="shared" si="12"/>
        <v>61</v>
      </c>
    </row>
    <row r="49" spans="1:12" ht="15.75">
      <c r="A49" s="16">
        <f t="shared" si="11"/>
        <v>48</v>
      </c>
      <c r="B49" s="5" t="s">
        <v>36</v>
      </c>
      <c r="C49" s="17" t="s">
        <v>159</v>
      </c>
      <c r="D49" s="16">
        <f t="shared" si="10"/>
        <v>18</v>
      </c>
      <c r="E49" s="16">
        <v>11</v>
      </c>
      <c r="F49" s="16">
        <v>7</v>
      </c>
      <c r="G49" s="16">
        <v>4</v>
      </c>
      <c r="H49" s="16">
        <f>715+76</f>
        <v>791</v>
      </c>
      <c r="I49" s="16">
        <f>653+82</f>
        <v>735</v>
      </c>
      <c r="J49" s="11">
        <f t="shared" si="13"/>
        <v>71.9090909090909</v>
      </c>
      <c r="K49" s="11">
        <f t="shared" si="14"/>
        <v>66.81818181818181</v>
      </c>
      <c r="L49" s="4">
        <f t="shared" si="12"/>
        <v>56</v>
      </c>
    </row>
    <row r="50" spans="1:12" ht="15.75">
      <c r="A50" s="16">
        <f t="shared" si="11"/>
        <v>49</v>
      </c>
      <c r="B50" s="5" t="s">
        <v>50</v>
      </c>
      <c r="C50" s="17" t="s">
        <v>48</v>
      </c>
      <c r="D50" s="16">
        <f t="shared" si="10"/>
        <v>18</v>
      </c>
      <c r="E50" s="16">
        <v>11</v>
      </c>
      <c r="F50" s="16">
        <v>7</v>
      </c>
      <c r="G50" s="16">
        <v>4</v>
      </c>
      <c r="H50" s="16">
        <f>743+71</f>
        <v>814</v>
      </c>
      <c r="I50" s="16">
        <f>714+60</f>
        <v>774</v>
      </c>
      <c r="J50" s="11">
        <f t="shared" si="13"/>
        <v>74</v>
      </c>
      <c r="K50" s="11">
        <f t="shared" si="14"/>
        <v>70.36363636363636</v>
      </c>
      <c r="L50" s="4">
        <f t="shared" si="12"/>
        <v>40</v>
      </c>
    </row>
    <row r="51" spans="1:12" ht="15.75">
      <c r="A51" s="16">
        <f t="shared" si="11"/>
        <v>50</v>
      </c>
      <c r="B51" s="5" t="s">
        <v>10</v>
      </c>
      <c r="C51" s="17" t="s">
        <v>109</v>
      </c>
      <c r="D51" s="16">
        <f t="shared" si="10"/>
        <v>18</v>
      </c>
      <c r="E51" s="16">
        <v>11</v>
      </c>
      <c r="F51" s="16">
        <v>7</v>
      </c>
      <c r="G51" s="16">
        <v>4</v>
      </c>
      <c r="H51" s="16">
        <f>758+87</f>
        <v>845</v>
      </c>
      <c r="I51" s="16">
        <f>756+70</f>
        <v>826</v>
      </c>
      <c r="J51" s="11">
        <f t="shared" si="13"/>
        <v>76.81818181818181</v>
      </c>
      <c r="K51" s="11">
        <f t="shared" si="14"/>
        <v>75.0909090909091</v>
      </c>
      <c r="L51" s="4">
        <f t="shared" si="12"/>
        <v>19</v>
      </c>
    </row>
    <row r="52" spans="1:12" ht="15.75">
      <c r="A52" s="16">
        <f aca="true" t="shared" si="15" ref="A52:A67">A51+1</f>
        <v>51</v>
      </c>
      <c r="B52" s="5" t="s">
        <v>10</v>
      </c>
      <c r="C52" s="17" t="s">
        <v>19</v>
      </c>
      <c r="D52" s="16">
        <f t="shared" si="10"/>
        <v>18</v>
      </c>
      <c r="E52" s="16">
        <v>11</v>
      </c>
      <c r="F52" s="16">
        <v>7</v>
      </c>
      <c r="G52" s="16">
        <v>4</v>
      </c>
      <c r="H52" s="16">
        <f>877+71</f>
        <v>948</v>
      </c>
      <c r="I52" s="16">
        <f>865+91</f>
        <v>956</v>
      </c>
      <c r="J52" s="11">
        <f t="shared" si="13"/>
        <v>86.18181818181819</v>
      </c>
      <c r="K52" s="11">
        <f t="shared" si="14"/>
        <v>86.9090909090909</v>
      </c>
      <c r="L52" s="4">
        <f t="shared" si="12"/>
        <v>-8</v>
      </c>
    </row>
    <row r="53" spans="1:12" ht="15.75">
      <c r="A53" s="16">
        <f t="shared" si="15"/>
        <v>52</v>
      </c>
      <c r="B53" s="5" t="s">
        <v>38</v>
      </c>
      <c r="C53" s="17" t="s">
        <v>147</v>
      </c>
      <c r="D53" s="16">
        <f t="shared" si="10"/>
        <v>18</v>
      </c>
      <c r="E53" s="16">
        <v>11</v>
      </c>
      <c r="F53" s="16">
        <v>7</v>
      </c>
      <c r="G53" s="16">
        <v>4</v>
      </c>
      <c r="H53" s="16">
        <f>760+59</f>
        <v>819</v>
      </c>
      <c r="I53" s="16">
        <f>743+96</f>
        <v>839</v>
      </c>
      <c r="J53" s="11">
        <f>H53/E53</f>
        <v>74.45454545454545</v>
      </c>
      <c r="K53" s="11">
        <f>I53/E53</f>
        <v>76.27272727272727</v>
      </c>
      <c r="L53" s="4">
        <f>H53-I53</f>
        <v>-20</v>
      </c>
    </row>
    <row r="54" spans="1:12" ht="15.75">
      <c r="A54" s="16">
        <f t="shared" si="15"/>
        <v>53</v>
      </c>
      <c r="B54" s="5" t="s">
        <v>50</v>
      </c>
      <c r="C54" s="17" t="s">
        <v>117</v>
      </c>
      <c r="D54" s="16">
        <f t="shared" si="10"/>
        <v>17</v>
      </c>
      <c r="E54" s="16">
        <v>11</v>
      </c>
      <c r="F54" s="16">
        <v>6</v>
      </c>
      <c r="G54" s="16">
        <v>5</v>
      </c>
      <c r="H54" s="16">
        <f>818+116</f>
        <v>934</v>
      </c>
      <c r="I54" s="16">
        <f>754+78</f>
        <v>832</v>
      </c>
      <c r="J54" s="11">
        <f>H54/E54</f>
        <v>84.9090909090909</v>
      </c>
      <c r="K54" s="11">
        <f>I54/E54</f>
        <v>75.63636363636364</v>
      </c>
      <c r="L54" s="4">
        <f aca="true" t="shared" si="16" ref="L54:L65">H54-I54</f>
        <v>102</v>
      </c>
    </row>
    <row r="55" spans="1:12" ht="15.75">
      <c r="A55" s="16">
        <f t="shared" si="15"/>
        <v>54</v>
      </c>
      <c r="B55" s="5" t="s">
        <v>32</v>
      </c>
      <c r="C55" s="17" t="s">
        <v>60</v>
      </c>
      <c r="D55" s="16">
        <f t="shared" si="10"/>
        <v>17</v>
      </c>
      <c r="E55" s="16">
        <v>11</v>
      </c>
      <c r="F55" s="16">
        <v>6</v>
      </c>
      <c r="G55" s="16">
        <v>5</v>
      </c>
      <c r="H55" s="16">
        <f>761+73</f>
        <v>834</v>
      </c>
      <c r="I55" s="16">
        <f>677+74</f>
        <v>751</v>
      </c>
      <c r="J55" s="11">
        <f aca="true" t="shared" si="17" ref="J55:J65">H55/E55</f>
        <v>75.81818181818181</v>
      </c>
      <c r="K55" s="11">
        <f aca="true" t="shared" si="18" ref="K55:K65">I55/E55</f>
        <v>68.27272727272727</v>
      </c>
      <c r="L55" s="4">
        <f t="shared" si="16"/>
        <v>83</v>
      </c>
    </row>
    <row r="56" spans="1:12" ht="15.75">
      <c r="A56" s="16">
        <f t="shared" si="15"/>
        <v>55</v>
      </c>
      <c r="B56" s="5" t="s">
        <v>28</v>
      </c>
      <c r="C56" s="17" t="s">
        <v>79</v>
      </c>
      <c r="D56" s="16">
        <f t="shared" si="10"/>
        <v>17</v>
      </c>
      <c r="E56" s="16">
        <v>11</v>
      </c>
      <c r="F56" s="16">
        <v>6</v>
      </c>
      <c r="G56" s="16">
        <v>5</v>
      </c>
      <c r="H56" s="16">
        <f>843+66</f>
        <v>909</v>
      </c>
      <c r="I56" s="16">
        <f>762+76</f>
        <v>838</v>
      </c>
      <c r="J56" s="11">
        <f t="shared" si="17"/>
        <v>82.63636363636364</v>
      </c>
      <c r="K56" s="11">
        <f t="shared" si="18"/>
        <v>76.18181818181819</v>
      </c>
      <c r="L56" s="4">
        <f t="shared" si="16"/>
        <v>71</v>
      </c>
    </row>
    <row r="57" spans="1:12" ht="15.75">
      <c r="A57" s="16">
        <f t="shared" si="15"/>
        <v>56</v>
      </c>
      <c r="B57" s="5" t="s">
        <v>44</v>
      </c>
      <c r="C57" s="17" t="s">
        <v>42</v>
      </c>
      <c r="D57" s="16">
        <f aca="true" t="shared" si="19" ref="D57:D65">E57+F57</f>
        <v>17</v>
      </c>
      <c r="E57" s="16">
        <v>11</v>
      </c>
      <c r="F57" s="16">
        <v>6</v>
      </c>
      <c r="G57" s="16">
        <v>5</v>
      </c>
      <c r="H57" s="16">
        <f>793+83</f>
        <v>876</v>
      </c>
      <c r="I57" s="16">
        <f>747+71</f>
        <v>818</v>
      </c>
      <c r="J57" s="11">
        <f t="shared" si="17"/>
        <v>79.63636363636364</v>
      </c>
      <c r="K57" s="11">
        <f t="shared" si="18"/>
        <v>74.36363636363636</v>
      </c>
      <c r="L57" s="4">
        <f t="shared" si="16"/>
        <v>58</v>
      </c>
    </row>
    <row r="58" spans="1:12" ht="15.75">
      <c r="A58" s="16">
        <f t="shared" si="15"/>
        <v>57</v>
      </c>
      <c r="B58" s="5" t="s">
        <v>28</v>
      </c>
      <c r="C58" s="17" t="s">
        <v>82</v>
      </c>
      <c r="D58" s="16">
        <f>E58+F58</f>
        <v>17</v>
      </c>
      <c r="E58" s="16">
        <v>11</v>
      </c>
      <c r="F58" s="16">
        <v>6</v>
      </c>
      <c r="G58" s="16">
        <v>5</v>
      </c>
      <c r="H58" s="16">
        <f>796+82</f>
        <v>878</v>
      </c>
      <c r="I58" s="16">
        <f>755+68</f>
        <v>823</v>
      </c>
      <c r="J58" s="11">
        <f t="shared" si="17"/>
        <v>79.81818181818181</v>
      </c>
      <c r="K58" s="11">
        <f t="shared" si="18"/>
        <v>74.81818181818181</v>
      </c>
      <c r="L58" s="4">
        <f t="shared" si="16"/>
        <v>55</v>
      </c>
    </row>
    <row r="59" spans="1:12" ht="15.75">
      <c r="A59" s="16">
        <f t="shared" si="15"/>
        <v>58</v>
      </c>
      <c r="B59" s="5" t="s">
        <v>24</v>
      </c>
      <c r="C59" s="17" t="s">
        <v>83</v>
      </c>
      <c r="D59" s="16">
        <f t="shared" si="19"/>
        <v>17</v>
      </c>
      <c r="E59" s="16">
        <v>11</v>
      </c>
      <c r="F59" s="16">
        <v>6</v>
      </c>
      <c r="G59" s="16">
        <v>5</v>
      </c>
      <c r="H59" s="16">
        <f>858+76</f>
        <v>934</v>
      </c>
      <c r="I59" s="16">
        <f>799+81</f>
        <v>880</v>
      </c>
      <c r="J59" s="11">
        <f t="shared" si="17"/>
        <v>84.9090909090909</v>
      </c>
      <c r="K59" s="11">
        <f t="shared" si="18"/>
        <v>80</v>
      </c>
      <c r="L59" s="4">
        <f t="shared" si="16"/>
        <v>54</v>
      </c>
    </row>
    <row r="60" spans="1:12" ht="15.75">
      <c r="A60" s="16">
        <f t="shared" si="15"/>
        <v>59</v>
      </c>
      <c r="B60" s="5" t="s">
        <v>44</v>
      </c>
      <c r="C60" s="17" t="s">
        <v>45</v>
      </c>
      <c r="D60" s="16">
        <f t="shared" si="19"/>
        <v>17</v>
      </c>
      <c r="E60" s="16">
        <v>11</v>
      </c>
      <c r="F60" s="16">
        <v>6</v>
      </c>
      <c r="G60" s="16">
        <v>5</v>
      </c>
      <c r="H60" s="16">
        <f>869+112</f>
        <v>981</v>
      </c>
      <c r="I60" s="16">
        <f>846+81</f>
        <v>927</v>
      </c>
      <c r="J60" s="11">
        <f t="shared" si="17"/>
        <v>89.18181818181819</v>
      </c>
      <c r="K60" s="11">
        <f t="shared" si="18"/>
        <v>84.27272727272727</v>
      </c>
      <c r="L60" s="4">
        <f t="shared" si="16"/>
        <v>54</v>
      </c>
    </row>
    <row r="61" spans="1:12" ht="15.75">
      <c r="A61" s="16">
        <f t="shared" si="15"/>
        <v>60</v>
      </c>
      <c r="B61" s="5" t="s">
        <v>24</v>
      </c>
      <c r="C61" s="17" t="s">
        <v>85</v>
      </c>
      <c r="D61" s="16">
        <f>E61+F61</f>
        <v>17</v>
      </c>
      <c r="E61" s="16">
        <v>11</v>
      </c>
      <c r="F61" s="16">
        <v>6</v>
      </c>
      <c r="G61" s="16">
        <v>5</v>
      </c>
      <c r="H61" s="16">
        <f>792+64</f>
        <v>856</v>
      </c>
      <c r="I61" s="16">
        <f>751+74</f>
        <v>825</v>
      </c>
      <c r="J61" s="11">
        <f t="shared" si="17"/>
        <v>77.81818181818181</v>
      </c>
      <c r="K61" s="11">
        <f t="shared" si="18"/>
        <v>75</v>
      </c>
      <c r="L61" s="4">
        <f t="shared" si="16"/>
        <v>31</v>
      </c>
    </row>
    <row r="62" spans="1:12" ht="15.75">
      <c r="A62" s="16">
        <f t="shared" si="15"/>
        <v>61</v>
      </c>
      <c r="B62" s="5" t="s">
        <v>17</v>
      </c>
      <c r="C62" s="25" t="s">
        <v>18</v>
      </c>
      <c r="D62" s="26">
        <f t="shared" si="19"/>
        <v>17</v>
      </c>
      <c r="E62" s="26">
        <v>11</v>
      </c>
      <c r="F62" s="26">
        <v>6</v>
      </c>
      <c r="G62" s="26">
        <v>5</v>
      </c>
      <c r="H62" s="26">
        <f>773+72</f>
        <v>845</v>
      </c>
      <c r="I62" s="26">
        <f>770+50</f>
        <v>820</v>
      </c>
      <c r="J62" s="11">
        <f t="shared" si="17"/>
        <v>76.81818181818181</v>
      </c>
      <c r="K62" s="11">
        <f t="shared" si="18"/>
        <v>74.54545454545455</v>
      </c>
      <c r="L62" s="4">
        <f t="shared" si="16"/>
        <v>25</v>
      </c>
    </row>
    <row r="63" spans="1:12" ht="15.75">
      <c r="A63" s="16">
        <f t="shared" si="15"/>
        <v>62</v>
      </c>
      <c r="B63" s="5" t="s">
        <v>49</v>
      </c>
      <c r="C63" s="17" t="s">
        <v>68</v>
      </c>
      <c r="D63" s="16">
        <f t="shared" si="19"/>
        <v>17</v>
      </c>
      <c r="E63" s="16">
        <v>11</v>
      </c>
      <c r="F63" s="16">
        <v>6</v>
      </c>
      <c r="G63" s="16">
        <v>5</v>
      </c>
      <c r="H63" s="16">
        <f>888+95</f>
        <v>983</v>
      </c>
      <c r="I63" s="16">
        <f>863+110</f>
        <v>973</v>
      </c>
      <c r="J63" s="11">
        <f t="shared" si="17"/>
        <v>89.36363636363636</v>
      </c>
      <c r="K63" s="11">
        <f t="shared" si="18"/>
        <v>88.45454545454545</v>
      </c>
      <c r="L63" s="4">
        <f t="shared" si="16"/>
        <v>10</v>
      </c>
    </row>
    <row r="64" spans="1:12" ht="15.75">
      <c r="A64" s="16">
        <f t="shared" si="15"/>
        <v>63</v>
      </c>
      <c r="B64" s="5" t="s">
        <v>21</v>
      </c>
      <c r="C64" s="17" t="s">
        <v>97</v>
      </c>
      <c r="D64" s="16">
        <f t="shared" si="19"/>
        <v>17</v>
      </c>
      <c r="E64" s="16">
        <v>11</v>
      </c>
      <c r="F64" s="16">
        <v>6</v>
      </c>
      <c r="G64" s="16">
        <v>5</v>
      </c>
      <c r="H64" s="16">
        <f>737+61</f>
        <v>798</v>
      </c>
      <c r="I64" s="16">
        <f>730+62</f>
        <v>792</v>
      </c>
      <c r="J64" s="11">
        <f t="shared" si="17"/>
        <v>72.54545454545455</v>
      </c>
      <c r="K64" s="11">
        <f t="shared" si="18"/>
        <v>72</v>
      </c>
      <c r="L64" s="4">
        <f t="shared" si="16"/>
        <v>6</v>
      </c>
    </row>
    <row r="65" spans="1:12" ht="15.75">
      <c r="A65" s="16">
        <f t="shared" si="15"/>
        <v>64</v>
      </c>
      <c r="B65" s="5" t="s">
        <v>10</v>
      </c>
      <c r="C65" s="17" t="s">
        <v>15</v>
      </c>
      <c r="D65" s="16">
        <f t="shared" si="19"/>
        <v>17</v>
      </c>
      <c r="E65" s="16">
        <v>11</v>
      </c>
      <c r="F65" s="16">
        <v>6</v>
      </c>
      <c r="G65" s="16">
        <v>5</v>
      </c>
      <c r="H65" s="16">
        <f>823+90</f>
        <v>913</v>
      </c>
      <c r="I65" s="16">
        <f>827+84</f>
        <v>911</v>
      </c>
      <c r="J65" s="11">
        <f t="shared" si="17"/>
        <v>83</v>
      </c>
      <c r="K65" s="11">
        <f t="shared" si="18"/>
        <v>82.81818181818181</v>
      </c>
      <c r="L65" s="4">
        <f t="shared" si="16"/>
        <v>2</v>
      </c>
    </row>
    <row r="66" spans="1:12" ht="15.75">
      <c r="A66" s="16">
        <f t="shared" si="15"/>
        <v>65</v>
      </c>
      <c r="B66" s="5" t="s">
        <v>38</v>
      </c>
      <c r="C66" s="17" t="s">
        <v>150</v>
      </c>
      <c r="D66" s="16">
        <f>E66+F66</f>
        <v>17</v>
      </c>
      <c r="E66" s="16">
        <v>11</v>
      </c>
      <c r="F66" s="16">
        <v>6</v>
      </c>
      <c r="G66" s="16">
        <v>5</v>
      </c>
      <c r="H66" s="16">
        <f>793+84</f>
        <v>877</v>
      </c>
      <c r="I66" s="16">
        <f>812+81</f>
        <v>893</v>
      </c>
      <c r="J66" s="11">
        <f>H66/E66</f>
        <v>79.72727272727273</v>
      </c>
      <c r="K66" s="11">
        <f>I66/E66</f>
        <v>81.18181818181819</v>
      </c>
      <c r="L66" s="4">
        <f>H66-I66</f>
        <v>-16</v>
      </c>
    </row>
    <row r="67" spans="1:12" ht="15.75">
      <c r="A67" s="16">
        <f t="shared" si="15"/>
        <v>66</v>
      </c>
      <c r="B67" s="5" t="s">
        <v>49</v>
      </c>
      <c r="C67" s="17" t="s">
        <v>124</v>
      </c>
      <c r="D67" s="16">
        <f>E67+F67</f>
        <v>17</v>
      </c>
      <c r="E67" s="16">
        <v>11</v>
      </c>
      <c r="F67" s="16">
        <v>6</v>
      </c>
      <c r="G67" s="16">
        <v>5</v>
      </c>
      <c r="H67" s="16">
        <f>786+62</f>
        <v>848</v>
      </c>
      <c r="I67" s="16">
        <f>781+89</f>
        <v>870</v>
      </c>
      <c r="J67" s="11">
        <f>H67/E67</f>
        <v>77.0909090909091</v>
      </c>
      <c r="K67" s="11">
        <f>I67/E67</f>
        <v>79.0909090909091</v>
      </c>
      <c r="L67" s="4">
        <f aca="true" t="shared" si="20" ref="L67:L79">H67-I67</f>
        <v>-22</v>
      </c>
    </row>
    <row r="68" spans="1:12" ht="15.75">
      <c r="A68" s="16">
        <f aca="true" t="shared" si="21" ref="A68:A83">A67+1</f>
        <v>67</v>
      </c>
      <c r="B68" s="5" t="s">
        <v>49</v>
      </c>
      <c r="C68" s="17" t="s">
        <v>47</v>
      </c>
      <c r="D68" s="16">
        <f aca="true" t="shared" si="22" ref="D68:D91">E68+F68</f>
        <v>17</v>
      </c>
      <c r="E68" s="16">
        <v>11</v>
      </c>
      <c r="F68" s="16">
        <v>6</v>
      </c>
      <c r="G68" s="16">
        <v>5</v>
      </c>
      <c r="H68" s="16">
        <f>757+79</f>
        <v>836</v>
      </c>
      <c r="I68" s="16">
        <f>785+75</f>
        <v>860</v>
      </c>
      <c r="J68" s="11">
        <f aca="true" t="shared" si="23" ref="J68:J80">H68/E68</f>
        <v>76</v>
      </c>
      <c r="K68" s="11">
        <f aca="true" t="shared" si="24" ref="K68:K80">I68/E68</f>
        <v>78.18181818181819</v>
      </c>
      <c r="L68" s="4">
        <f t="shared" si="20"/>
        <v>-24</v>
      </c>
    </row>
    <row r="69" spans="1:12" ht="15.75">
      <c r="A69" s="16">
        <f t="shared" si="21"/>
        <v>68</v>
      </c>
      <c r="B69" s="5" t="s">
        <v>17</v>
      </c>
      <c r="C69" s="25" t="s">
        <v>103</v>
      </c>
      <c r="D69" s="26">
        <f>E69+F69</f>
        <v>17</v>
      </c>
      <c r="E69" s="26">
        <v>11</v>
      </c>
      <c r="F69" s="26">
        <v>6</v>
      </c>
      <c r="G69" s="26">
        <v>5</v>
      </c>
      <c r="H69" s="26">
        <f>773+85</f>
        <v>858</v>
      </c>
      <c r="I69" s="26">
        <f>809+74</f>
        <v>883</v>
      </c>
      <c r="J69" s="11">
        <f t="shared" si="23"/>
        <v>78</v>
      </c>
      <c r="K69" s="11">
        <f t="shared" si="24"/>
        <v>80.27272727272727</v>
      </c>
      <c r="L69" s="4">
        <f t="shared" si="20"/>
        <v>-25</v>
      </c>
    </row>
    <row r="70" spans="1:12" ht="15.75">
      <c r="A70" s="16">
        <f t="shared" si="21"/>
        <v>69</v>
      </c>
      <c r="B70" s="5" t="s">
        <v>32</v>
      </c>
      <c r="C70" s="17" t="s">
        <v>74</v>
      </c>
      <c r="D70" s="16">
        <f>E70+F70</f>
        <v>17</v>
      </c>
      <c r="E70" s="16">
        <v>11</v>
      </c>
      <c r="F70" s="16">
        <v>6</v>
      </c>
      <c r="G70" s="16">
        <v>5</v>
      </c>
      <c r="H70" s="16">
        <f>805+76</f>
        <v>881</v>
      </c>
      <c r="I70" s="16">
        <f>853+64</f>
        <v>917</v>
      </c>
      <c r="J70" s="11">
        <f t="shared" si="23"/>
        <v>80.0909090909091</v>
      </c>
      <c r="K70" s="11">
        <f t="shared" si="24"/>
        <v>83.36363636363636</v>
      </c>
      <c r="L70" s="4">
        <f t="shared" si="20"/>
        <v>-36</v>
      </c>
    </row>
    <row r="71" spans="1:12" ht="15.75">
      <c r="A71" s="16">
        <f t="shared" si="21"/>
        <v>70</v>
      </c>
      <c r="B71" s="5" t="s">
        <v>21</v>
      </c>
      <c r="C71" s="17" t="s">
        <v>167</v>
      </c>
      <c r="D71" s="16">
        <f>E71+F71</f>
        <v>17</v>
      </c>
      <c r="E71" s="16">
        <v>11</v>
      </c>
      <c r="F71" s="16">
        <v>6</v>
      </c>
      <c r="G71" s="16">
        <v>5</v>
      </c>
      <c r="H71" s="16">
        <f>707+62</f>
        <v>769</v>
      </c>
      <c r="I71" s="16">
        <f>755+61</f>
        <v>816</v>
      </c>
      <c r="J71" s="11">
        <f t="shared" si="23"/>
        <v>69.9090909090909</v>
      </c>
      <c r="K71" s="11">
        <f t="shared" si="24"/>
        <v>74.18181818181819</v>
      </c>
      <c r="L71" s="4">
        <f t="shared" si="20"/>
        <v>-47</v>
      </c>
    </row>
    <row r="72" spans="1:12" ht="15.75">
      <c r="A72" s="16">
        <f t="shared" si="21"/>
        <v>71</v>
      </c>
      <c r="B72" s="5" t="s">
        <v>32</v>
      </c>
      <c r="C72" s="17" t="s">
        <v>75</v>
      </c>
      <c r="D72" s="16">
        <f aca="true" t="shared" si="25" ref="D72:D80">E72+F72</f>
        <v>17</v>
      </c>
      <c r="E72" s="16">
        <v>11</v>
      </c>
      <c r="F72" s="16">
        <v>6</v>
      </c>
      <c r="G72" s="16">
        <v>5</v>
      </c>
      <c r="H72" s="16">
        <f>793+74</f>
        <v>867</v>
      </c>
      <c r="I72" s="16">
        <f>842+73</f>
        <v>915</v>
      </c>
      <c r="J72" s="11">
        <f t="shared" si="23"/>
        <v>78.81818181818181</v>
      </c>
      <c r="K72" s="11">
        <f t="shared" si="24"/>
        <v>83.18181818181819</v>
      </c>
      <c r="L72" s="4">
        <f t="shared" si="20"/>
        <v>-48</v>
      </c>
    </row>
    <row r="73" spans="1:12" ht="16.5" thickBot="1">
      <c r="A73" s="22">
        <f t="shared" si="21"/>
        <v>72</v>
      </c>
      <c r="B73" s="5" t="s">
        <v>38</v>
      </c>
      <c r="C73" s="17" t="s">
        <v>149</v>
      </c>
      <c r="D73" s="16">
        <f t="shared" si="25"/>
        <v>17</v>
      </c>
      <c r="E73" s="16">
        <v>11</v>
      </c>
      <c r="F73" s="16">
        <v>6</v>
      </c>
      <c r="G73" s="16">
        <v>5</v>
      </c>
      <c r="H73" s="16">
        <v>770</v>
      </c>
      <c r="I73" s="16">
        <v>839</v>
      </c>
      <c r="J73" s="11">
        <f t="shared" si="23"/>
        <v>70</v>
      </c>
      <c r="K73" s="11">
        <f t="shared" si="24"/>
        <v>76.27272727272727</v>
      </c>
      <c r="L73" s="4">
        <f t="shared" si="20"/>
        <v>-69</v>
      </c>
    </row>
    <row r="74" spans="1:12" ht="15.75">
      <c r="A74" s="16">
        <f t="shared" si="21"/>
        <v>73</v>
      </c>
      <c r="B74" s="5" t="s">
        <v>50</v>
      </c>
      <c r="C74" s="17" t="s">
        <v>116</v>
      </c>
      <c r="D74" s="16">
        <f t="shared" si="25"/>
        <v>16</v>
      </c>
      <c r="E74" s="16">
        <v>11</v>
      </c>
      <c r="F74" s="16">
        <v>5</v>
      </c>
      <c r="G74" s="16">
        <v>6</v>
      </c>
      <c r="H74" s="16">
        <f>752+68</f>
        <v>820</v>
      </c>
      <c r="I74" s="16">
        <f>729+69</f>
        <v>798</v>
      </c>
      <c r="J74" s="11">
        <f t="shared" si="23"/>
        <v>74.54545454545455</v>
      </c>
      <c r="K74" s="11">
        <f t="shared" si="24"/>
        <v>72.54545454545455</v>
      </c>
      <c r="L74" s="4">
        <f t="shared" si="20"/>
        <v>22</v>
      </c>
    </row>
    <row r="75" spans="1:12" ht="15.75">
      <c r="A75" s="16">
        <f t="shared" si="21"/>
        <v>74</v>
      </c>
      <c r="B75" s="5" t="s">
        <v>36</v>
      </c>
      <c r="C75" s="17" t="s">
        <v>156</v>
      </c>
      <c r="D75" s="16">
        <f t="shared" si="25"/>
        <v>16</v>
      </c>
      <c r="E75" s="16">
        <v>11</v>
      </c>
      <c r="F75" s="16">
        <v>5</v>
      </c>
      <c r="G75" s="16">
        <v>6</v>
      </c>
      <c r="H75" s="16">
        <f>825+59</f>
        <v>884</v>
      </c>
      <c r="I75" s="16">
        <f>798+80</f>
        <v>878</v>
      </c>
      <c r="J75" s="11">
        <f t="shared" si="23"/>
        <v>80.36363636363636</v>
      </c>
      <c r="K75" s="11">
        <f t="shared" si="24"/>
        <v>79.81818181818181</v>
      </c>
      <c r="L75" s="4">
        <f t="shared" si="20"/>
        <v>6</v>
      </c>
    </row>
    <row r="76" spans="1:12" ht="15.75">
      <c r="A76" s="16">
        <f t="shared" si="21"/>
        <v>75</v>
      </c>
      <c r="B76" s="5" t="s">
        <v>49</v>
      </c>
      <c r="C76" s="17" t="s">
        <v>125</v>
      </c>
      <c r="D76" s="16">
        <f t="shared" si="25"/>
        <v>16</v>
      </c>
      <c r="E76" s="16">
        <v>11</v>
      </c>
      <c r="F76" s="16">
        <v>5</v>
      </c>
      <c r="G76" s="16">
        <v>6</v>
      </c>
      <c r="H76" s="16">
        <f>795+78</f>
        <v>873</v>
      </c>
      <c r="I76" s="16">
        <f>787+81</f>
        <v>868</v>
      </c>
      <c r="J76" s="11">
        <f t="shared" si="23"/>
        <v>79.36363636363636</v>
      </c>
      <c r="K76" s="11">
        <f t="shared" si="24"/>
        <v>78.9090909090909</v>
      </c>
      <c r="L76" s="4">
        <f t="shared" si="20"/>
        <v>5</v>
      </c>
    </row>
    <row r="77" spans="1:12" ht="15.75">
      <c r="A77" s="16">
        <f t="shared" si="21"/>
        <v>76</v>
      </c>
      <c r="B77" s="5" t="s">
        <v>38</v>
      </c>
      <c r="C77" s="17" t="s">
        <v>39</v>
      </c>
      <c r="D77" s="16">
        <f t="shared" si="25"/>
        <v>16</v>
      </c>
      <c r="E77" s="16">
        <v>11</v>
      </c>
      <c r="F77" s="16">
        <v>5</v>
      </c>
      <c r="G77" s="16">
        <v>6</v>
      </c>
      <c r="H77" s="16">
        <f>742+96</f>
        <v>838</v>
      </c>
      <c r="I77" s="16">
        <f>777+59</f>
        <v>836</v>
      </c>
      <c r="J77" s="11">
        <f t="shared" si="23"/>
        <v>76.18181818181819</v>
      </c>
      <c r="K77" s="11">
        <f t="shared" si="24"/>
        <v>76</v>
      </c>
      <c r="L77" s="4">
        <f t="shared" si="20"/>
        <v>2</v>
      </c>
    </row>
    <row r="78" spans="1:12" ht="15.75">
      <c r="A78" s="16">
        <f t="shared" si="21"/>
        <v>77</v>
      </c>
      <c r="B78" s="5" t="s">
        <v>50</v>
      </c>
      <c r="C78" s="17" t="s">
        <v>118</v>
      </c>
      <c r="D78" s="16">
        <f>E78+F78</f>
        <v>16</v>
      </c>
      <c r="E78" s="16">
        <v>11</v>
      </c>
      <c r="F78" s="16">
        <v>5</v>
      </c>
      <c r="G78" s="16">
        <v>6</v>
      </c>
      <c r="H78" s="16">
        <f>746+113</f>
        <v>859</v>
      </c>
      <c r="I78" s="16">
        <f>777+81</f>
        <v>858</v>
      </c>
      <c r="J78" s="11">
        <f>H78/E78</f>
        <v>78.0909090909091</v>
      </c>
      <c r="K78" s="11">
        <f>I78/E78</f>
        <v>78</v>
      </c>
      <c r="L78" s="4">
        <f>H78-I78</f>
        <v>1</v>
      </c>
    </row>
    <row r="79" spans="1:12" ht="15.75">
      <c r="A79" s="16">
        <f t="shared" si="21"/>
        <v>78</v>
      </c>
      <c r="B79" s="5" t="s">
        <v>28</v>
      </c>
      <c r="C79" s="17" t="s">
        <v>23</v>
      </c>
      <c r="D79" s="16">
        <f>E79+F79</f>
        <v>16</v>
      </c>
      <c r="E79" s="16">
        <v>11</v>
      </c>
      <c r="F79" s="16">
        <v>5</v>
      </c>
      <c r="G79" s="16">
        <v>6</v>
      </c>
      <c r="H79" s="16">
        <f>803+68</f>
        <v>871</v>
      </c>
      <c r="I79" s="16">
        <f>789+82</f>
        <v>871</v>
      </c>
      <c r="J79" s="11">
        <f>H79/E79</f>
        <v>79.18181818181819</v>
      </c>
      <c r="K79" s="11">
        <f>I79/E79</f>
        <v>79.18181818181819</v>
      </c>
      <c r="L79" s="4">
        <f t="shared" si="20"/>
        <v>0</v>
      </c>
    </row>
    <row r="80" spans="1:12" ht="15.75">
      <c r="A80" s="16">
        <f t="shared" si="21"/>
        <v>79</v>
      </c>
      <c r="B80" s="5" t="s">
        <v>38</v>
      </c>
      <c r="C80" s="17" t="s">
        <v>151</v>
      </c>
      <c r="D80" s="16">
        <f t="shared" si="25"/>
        <v>16</v>
      </c>
      <c r="E80" s="16">
        <v>11</v>
      </c>
      <c r="F80" s="16">
        <v>5</v>
      </c>
      <c r="G80" s="16">
        <v>6</v>
      </c>
      <c r="H80" s="16">
        <f>779+81</f>
        <v>860</v>
      </c>
      <c r="I80" s="16">
        <f>776+84</f>
        <v>860</v>
      </c>
      <c r="J80" s="11">
        <f t="shared" si="23"/>
        <v>78.18181818181819</v>
      </c>
      <c r="K80" s="11">
        <f t="shared" si="24"/>
        <v>78.18181818181819</v>
      </c>
      <c r="L80" s="4">
        <f aca="true" t="shared" si="26" ref="L80:L91">H80-I80</f>
        <v>0</v>
      </c>
    </row>
    <row r="81" spans="1:12" ht="15.75">
      <c r="A81" s="16">
        <f t="shared" si="21"/>
        <v>80</v>
      </c>
      <c r="B81" s="5" t="s">
        <v>10</v>
      </c>
      <c r="C81" s="17" t="s">
        <v>57</v>
      </c>
      <c r="D81" s="16">
        <f t="shared" si="22"/>
        <v>16</v>
      </c>
      <c r="E81" s="16">
        <v>11</v>
      </c>
      <c r="F81" s="16">
        <v>5</v>
      </c>
      <c r="G81" s="16">
        <v>6</v>
      </c>
      <c r="H81" s="16">
        <f>857+72</f>
        <v>929</v>
      </c>
      <c r="I81" s="16">
        <f>856+76</f>
        <v>932</v>
      </c>
      <c r="J81" s="11">
        <f aca="true" t="shared" si="27" ref="J81:J91">H81/E81</f>
        <v>84.45454545454545</v>
      </c>
      <c r="K81" s="11">
        <f aca="true" t="shared" si="28" ref="K81:K91">I81/E81</f>
        <v>84.72727272727273</v>
      </c>
      <c r="L81" s="4">
        <f t="shared" si="26"/>
        <v>-3</v>
      </c>
    </row>
    <row r="82" spans="1:12" ht="15.75">
      <c r="A82" s="16">
        <f t="shared" si="21"/>
        <v>81</v>
      </c>
      <c r="B82" s="5" t="s">
        <v>28</v>
      </c>
      <c r="C82" s="17" t="s">
        <v>22</v>
      </c>
      <c r="D82" s="16">
        <f t="shared" si="22"/>
        <v>16</v>
      </c>
      <c r="E82" s="16">
        <v>11</v>
      </c>
      <c r="F82" s="16">
        <v>5</v>
      </c>
      <c r="G82" s="16">
        <v>6</v>
      </c>
      <c r="H82" s="16">
        <f>762+63</f>
        <v>825</v>
      </c>
      <c r="I82" s="16">
        <f>775+58</f>
        <v>833</v>
      </c>
      <c r="J82" s="11">
        <f t="shared" si="27"/>
        <v>75</v>
      </c>
      <c r="K82" s="11">
        <f t="shared" si="28"/>
        <v>75.72727272727273</v>
      </c>
      <c r="L82" s="4">
        <f t="shared" si="26"/>
        <v>-8</v>
      </c>
    </row>
    <row r="83" spans="1:12" ht="15.75">
      <c r="A83" s="16">
        <f t="shared" si="21"/>
        <v>82</v>
      </c>
      <c r="B83" s="5" t="s">
        <v>40</v>
      </c>
      <c r="C83" s="17" t="s">
        <v>140</v>
      </c>
      <c r="D83" s="16">
        <f t="shared" si="22"/>
        <v>16</v>
      </c>
      <c r="E83" s="16">
        <v>11</v>
      </c>
      <c r="F83" s="16">
        <v>5</v>
      </c>
      <c r="G83" s="16">
        <v>6</v>
      </c>
      <c r="H83" s="16">
        <v>823</v>
      </c>
      <c r="I83" s="16">
        <v>835</v>
      </c>
      <c r="J83" s="11">
        <f t="shared" si="27"/>
        <v>74.81818181818181</v>
      </c>
      <c r="K83" s="11">
        <f t="shared" si="28"/>
        <v>75.9090909090909</v>
      </c>
      <c r="L83" s="4">
        <f t="shared" si="26"/>
        <v>-12</v>
      </c>
    </row>
    <row r="84" spans="1:12" ht="15.75">
      <c r="A84" s="16">
        <f aca="true" t="shared" si="29" ref="A84:A99">A83+1</f>
        <v>83</v>
      </c>
      <c r="B84" s="5" t="s">
        <v>50</v>
      </c>
      <c r="C84" s="17" t="s">
        <v>120</v>
      </c>
      <c r="D84" s="16">
        <f t="shared" si="22"/>
        <v>16</v>
      </c>
      <c r="E84" s="16">
        <v>11</v>
      </c>
      <c r="F84" s="16">
        <v>5</v>
      </c>
      <c r="G84" s="16">
        <v>6</v>
      </c>
      <c r="H84" s="16">
        <f>801+60</f>
        <v>861</v>
      </c>
      <c r="I84" s="16">
        <f>804+71</f>
        <v>875</v>
      </c>
      <c r="J84" s="11">
        <f t="shared" si="27"/>
        <v>78.27272727272727</v>
      </c>
      <c r="K84" s="11">
        <f t="shared" si="28"/>
        <v>79.54545454545455</v>
      </c>
      <c r="L84" s="4">
        <f t="shared" si="26"/>
        <v>-14</v>
      </c>
    </row>
    <row r="85" spans="1:12" ht="15.75">
      <c r="A85" s="16">
        <f t="shared" si="29"/>
        <v>84</v>
      </c>
      <c r="B85" s="5" t="s">
        <v>32</v>
      </c>
      <c r="C85" s="17" t="s">
        <v>73</v>
      </c>
      <c r="D85" s="16">
        <f t="shared" si="22"/>
        <v>16</v>
      </c>
      <c r="E85" s="16">
        <v>11</v>
      </c>
      <c r="F85" s="16">
        <v>5</v>
      </c>
      <c r="G85" s="16">
        <v>6</v>
      </c>
      <c r="H85" s="16">
        <f>766+59</f>
        <v>825</v>
      </c>
      <c r="I85" s="16">
        <f>777+67</f>
        <v>844</v>
      </c>
      <c r="J85" s="11">
        <f t="shared" si="27"/>
        <v>75</v>
      </c>
      <c r="K85" s="11">
        <f t="shared" si="28"/>
        <v>76.72727272727273</v>
      </c>
      <c r="L85" s="4">
        <f t="shared" si="26"/>
        <v>-19</v>
      </c>
    </row>
    <row r="86" spans="1:12" ht="15.75">
      <c r="A86" s="16">
        <f t="shared" si="29"/>
        <v>85</v>
      </c>
      <c r="B86" s="5" t="s">
        <v>17</v>
      </c>
      <c r="C86" s="25" t="s">
        <v>105</v>
      </c>
      <c r="D86" s="26">
        <f t="shared" si="22"/>
        <v>16</v>
      </c>
      <c r="E86" s="26">
        <v>11</v>
      </c>
      <c r="F86" s="26">
        <v>5</v>
      </c>
      <c r="G86" s="26">
        <v>6</v>
      </c>
      <c r="H86" s="26">
        <f>772+95</f>
        <v>867</v>
      </c>
      <c r="I86" s="26">
        <f>810+79</f>
        <v>889</v>
      </c>
      <c r="J86" s="11">
        <f t="shared" si="27"/>
        <v>78.81818181818181</v>
      </c>
      <c r="K86" s="11">
        <f t="shared" si="28"/>
        <v>80.81818181818181</v>
      </c>
      <c r="L86" s="4">
        <f t="shared" si="26"/>
        <v>-22</v>
      </c>
    </row>
    <row r="87" spans="1:12" ht="15.75">
      <c r="A87" s="16">
        <f t="shared" si="29"/>
        <v>86</v>
      </c>
      <c r="B87" s="5" t="s">
        <v>50</v>
      </c>
      <c r="C87" s="17" t="s">
        <v>52</v>
      </c>
      <c r="D87" s="16">
        <f t="shared" si="22"/>
        <v>16</v>
      </c>
      <c r="E87" s="16">
        <v>11</v>
      </c>
      <c r="F87" s="16">
        <v>5</v>
      </c>
      <c r="G87" s="16">
        <v>6</v>
      </c>
      <c r="H87" s="16">
        <f>733+69</f>
        <v>802</v>
      </c>
      <c r="I87" s="16">
        <f>759+68</f>
        <v>827</v>
      </c>
      <c r="J87" s="11">
        <f t="shared" si="27"/>
        <v>72.9090909090909</v>
      </c>
      <c r="K87" s="11">
        <f t="shared" si="28"/>
        <v>75.18181818181819</v>
      </c>
      <c r="L87" s="4">
        <f t="shared" si="26"/>
        <v>-25</v>
      </c>
    </row>
    <row r="88" spans="1:12" ht="15.75">
      <c r="A88" s="16">
        <f t="shared" si="29"/>
        <v>87</v>
      </c>
      <c r="B88" s="5" t="s">
        <v>24</v>
      </c>
      <c r="C88" s="17" t="s">
        <v>87</v>
      </c>
      <c r="D88" s="16">
        <f t="shared" si="22"/>
        <v>16</v>
      </c>
      <c r="E88" s="16">
        <v>11</v>
      </c>
      <c r="F88" s="16">
        <v>5</v>
      </c>
      <c r="G88" s="16">
        <v>6</v>
      </c>
      <c r="H88" s="16">
        <f>746+69</f>
        <v>815</v>
      </c>
      <c r="I88" s="16">
        <f>735+107</f>
        <v>842</v>
      </c>
      <c r="J88" s="11">
        <f t="shared" si="27"/>
        <v>74.0909090909091</v>
      </c>
      <c r="K88" s="11">
        <f t="shared" si="28"/>
        <v>76.54545454545455</v>
      </c>
      <c r="L88" s="4">
        <f t="shared" si="26"/>
        <v>-27</v>
      </c>
    </row>
    <row r="89" spans="1:12" ht="15.75">
      <c r="A89" s="16">
        <f t="shared" si="29"/>
        <v>88</v>
      </c>
      <c r="B89" s="5" t="s">
        <v>21</v>
      </c>
      <c r="C89" s="17" t="s">
        <v>99</v>
      </c>
      <c r="D89" s="16">
        <f t="shared" si="22"/>
        <v>16</v>
      </c>
      <c r="E89" s="16">
        <v>11</v>
      </c>
      <c r="F89" s="16">
        <v>5</v>
      </c>
      <c r="G89" s="16">
        <v>6</v>
      </c>
      <c r="H89" s="16">
        <f>771+80</f>
        <v>851</v>
      </c>
      <c r="I89" s="16">
        <f>788+106</f>
        <v>894</v>
      </c>
      <c r="J89" s="11">
        <f t="shared" si="27"/>
        <v>77.36363636363636</v>
      </c>
      <c r="K89" s="11">
        <f t="shared" si="28"/>
        <v>81.27272727272727</v>
      </c>
      <c r="L89" s="4">
        <f t="shared" si="26"/>
        <v>-43</v>
      </c>
    </row>
    <row r="90" spans="1:12" ht="15.75">
      <c r="A90" s="16">
        <f t="shared" si="29"/>
        <v>89</v>
      </c>
      <c r="B90" s="5" t="s">
        <v>10</v>
      </c>
      <c r="C90" s="17" t="s">
        <v>111</v>
      </c>
      <c r="D90" s="16">
        <f t="shared" si="22"/>
        <v>16</v>
      </c>
      <c r="E90" s="16">
        <v>11</v>
      </c>
      <c r="F90" s="16">
        <v>5</v>
      </c>
      <c r="G90" s="16">
        <v>6</v>
      </c>
      <c r="H90" s="16">
        <f>757+76</f>
        <v>833</v>
      </c>
      <c r="I90" s="16">
        <f>811+72</f>
        <v>883</v>
      </c>
      <c r="J90" s="11">
        <f t="shared" si="27"/>
        <v>75.72727272727273</v>
      </c>
      <c r="K90" s="11">
        <f t="shared" si="28"/>
        <v>80.27272727272727</v>
      </c>
      <c r="L90" s="4">
        <f t="shared" si="26"/>
        <v>-50</v>
      </c>
    </row>
    <row r="91" spans="1:12" ht="15.75">
      <c r="A91" s="16">
        <f t="shared" si="29"/>
        <v>90</v>
      </c>
      <c r="B91" s="5" t="s">
        <v>17</v>
      </c>
      <c r="C91" s="25" t="s">
        <v>106</v>
      </c>
      <c r="D91" s="26">
        <f t="shared" si="22"/>
        <v>16</v>
      </c>
      <c r="E91" s="26">
        <v>11</v>
      </c>
      <c r="F91" s="26">
        <v>5</v>
      </c>
      <c r="G91" s="26">
        <v>6</v>
      </c>
      <c r="H91" s="26">
        <f>811+56</f>
        <v>867</v>
      </c>
      <c r="I91" s="26">
        <f>839+81</f>
        <v>920</v>
      </c>
      <c r="J91" s="11">
        <f t="shared" si="27"/>
        <v>78.81818181818181</v>
      </c>
      <c r="K91" s="11">
        <f t="shared" si="28"/>
        <v>83.63636363636364</v>
      </c>
      <c r="L91" s="4">
        <f t="shared" si="26"/>
        <v>-53</v>
      </c>
    </row>
    <row r="92" spans="1:12" ht="15.75">
      <c r="A92" s="16">
        <f t="shared" si="29"/>
        <v>91</v>
      </c>
      <c r="B92" s="5" t="s">
        <v>17</v>
      </c>
      <c r="C92" s="25" t="s">
        <v>104</v>
      </c>
      <c r="D92" s="26">
        <f aca="true" t="shared" si="30" ref="D92:D118">E92+F92</f>
        <v>16</v>
      </c>
      <c r="E92" s="26">
        <v>11</v>
      </c>
      <c r="F92" s="26">
        <v>5</v>
      </c>
      <c r="G92" s="26">
        <v>6</v>
      </c>
      <c r="H92" s="26">
        <f>831+79</f>
        <v>910</v>
      </c>
      <c r="I92" s="26">
        <f>873+95</f>
        <v>968</v>
      </c>
      <c r="J92" s="11">
        <f aca="true" t="shared" si="31" ref="J92:J106">H92/E92</f>
        <v>82.72727272727273</v>
      </c>
      <c r="K92" s="11">
        <f aca="true" t="shared" si="32" ref="K92:K106">I92/E92</f>
        <v>88</v>
      </c>
      <c r="L92" s="4">
        <f aca="true" t="shared" si="33" ref="L92:L105">H92-I92</f>
        <v>-58</v>
      </c>
    </row>
    <row r="93" spans="1:12" ht="15.75">
      <c r="A93" s="16">
        <f t="shared" si="29"/>
        <v>92</v>
      </c>
      <c r="B93" s="5" t="s">
        <v>36</v>
      </c>
      <c r="C93" s="17" t="s">
        <v>160</v>
      </c>
      <c r="D93" s="16">
        <f t="shared" si="30"/>
        <v>16</v>
      </c>
      <c r="E93" s="16">
        <v>11</v>
      </c>
      <c r="F93" s="16">
        <v>5</v>
      </c>
      <c r="G93" s="16">
        <v>6</v>
      </c>
      <c r="H93" s="16">
        <f>706+73</f>
        <v>779</v>
      </c>
      <c r="I93" s="16">
        <f>777+61</f>
        <v>838</v>
      </c>
      <c r="J93" s="11">
        <f t="shared" si="31"/>
        <v>70.81818181818181</v>
      </c>
      <c r="K93" s="11">
        <f t="shared" si="32"/>
        <v>76.18181818181819</v>
      </c>
      <c r="L93" s="4">
        <f t="shared" si="33"/>
        <v>-59</v>
      </c>
    </row>
    <row r="94" spans="1:12" ht="15.75">
      <c r="A94" s="16">
        <f t="shared" si="29"/>
        <v>93</v>
      </c>
      <c r="B94" s="5" t="s">
        <v>24</v>
      </c>
      <c r="C94" s="17" t="s">
        <v>88</v>
      </c>
      <c r="D94" s="16">
        <f t="shared" si="30"/>
        <v>16</v>
      </c>
      <c r="E94" s="16">
        <v>11</v>
      </c>
      <c r="F94" s="16">
        <v>5</v>
      </c>
      <c r="G94" s="16">
        <v>6</v>
      </c>
      <c r="H94" s="16">
        <f>830+73</f>
        <v>903</v>
      </c>
      <c r="I94" s="16">
        <f>874+93</f>
        <v>967</v>
      </c>
      <c r="J94" s="11">
        <f t="shared" si="31"/>
        <v>82.0909090909091</v>
      </c>
      <c r="K94" s="11">
        <f t="shared" si="32"/>
        <v>87.9090909090909</v>
      </c>
      <c r="L94" s="4">
        <f t="shared" si="33"/>
        <v>-64</v>
      </c>
    </row>
    <row r="95" spans="1:12" ht="16.5">
      <c r="A95" s="16">
        <f t="shared" si="29"/>
        <v>94</v>
      </c>
      <c r="B95" s="5" t="s">
        <v>38</v>
      </c>
      <c r="C95" s="20" t="s">
        <v>152</v>
      </c>
      <c r="D95" s="16">
        <f t="shared" si="30"/>
        <v>15</v>
      </c>
      <c r="E95" s="16">
        <v>11</v>
      </c>
      <c r="F95" s="16">
        <v>4</v>
      </c>
      <c r="G95" s="16">
        <v>7</v>
      </c>
      <c r="H95" s="16">
        <f>812+97</f>
        <v>909</v>
      </c>
      <c r="I95" s="16">
        <f>808+88</f>
        <v>896</v>
      </c>
      <c r="J95" s="11">
        <f t="shared" si="31"/>
        <v>82.63636363636364</v>
      </c>
      <c r="K95" s="11">
        <f t="shared" si="32"/>
        <v>81.45454545454545</v>
      </c>
      <c r="L95" s="4">
        <f t="shared" si="33"/>
        <v>13</v>
      </c>
    </row>
    <row r="96" spans="1:12" ht="15.75">
      <c r="A96" s="16">
        <f t="shared" si="29"/>
        <v>95</v>
      </c>
      <c r="B96" s="5" t="s">
        <v>21</v>
      </c>
      <c r="C96" s="17" t="s">
        <v>98</v>
      </c>
      <c r="D96" s="16">
        <f t="shared" si="30"/>
        <v>15</v>
      </c>
      <c r="E96" s="16">
        <v>11</v>
      </c>
      <c r="F96" s="16">
        <v>4</v>
      </c>
      <c r="G96" s="16">
        <v>7</v>
      </c>
      <c r="H96" s="16">
        <f>709+69</f>
        <v>778</v>
      </c>
      <c r="I96" s="16">
        <f>692+88</f>
        <v>780</v>
      </c>
      <c r="J96" s="11">
        <f t="shared" si="31"/>
        <v>70.72727272727273</v>
      </c>
      <c r="K96" s="11">
        <f t="shared" si="32"/>
        <v>70.9090909090909</v>
      </c>
      <c r="L96" s="4">
        <f t="shared" si="33"/>
        <v>-2</v>
      </c>
    </row>
    <row r="97" spans="1:12" ht="15.75">
      <c r="A97" s="16">
        <f t="shared" si="29"/>
        <v>96</v>
      </c>
      <c r="B97" s="5" t="s">
        <v>21</v>
      </c>
      <c r="C97" s="17" t="s">
        <v>96</v>
      </c>
      <c r="D97" s="16">
        <f t="shared" si="30"/>
        <v>15</v>
      </c>
      <c r="E97" s="16">
        <v>11</v>
      </c>
      <c r="F97" s="16">
        <v>4</v>
      </c>
      <c r="G97" s="16">
        <v>7</v>
      </c>
      <c r="H97" s="16">
        <f>758+106</f>
        <v>864</v>
      </c>
      <c r="I97" s="16">
        <f>788+80</f>
        <v>868</v>
      </c>
      <c r="J97" s="11">
        <f t="shared" si="31"/>
        <v>78.54545454545455</v>
      </c>
      <c r="K97" s="11">
        <f t="shared" si="32"/>
        <v>78.9090909090909</v>
      </c>
      <c r="L97" s="4">
        <f t="shared" si="33"/>
        <v>-4</v>
      </c>
    </row>
    <row r="98" spans="1:12" ht="15.75">
      <c r="A98" s="16">
        <f t="shared" si="29"/>
        <v>97</v>
      </c>
      <c r="B98" s="5" t="s">
        <v>44</v>
      </c>
      <c r="C98" s="17" t="s">
        <v>131</v>
      </c>
      <c r="D98" s="16">
        <f t="shared" si="30"/>
        <v>15</v>
      </c>
      <c r="E98" s="16">
        <v>11</v>
      </c>
      <c r="F98" s="16">
        <v>4</v>
      </c>
      <c r="G98" s="16">
        <v>7</v>
      </c>
      <c r="H98" s="16">
        <f>805+74</f>
        <v>879</v>
      </c>
      <c r="I98" s="16">
        <f>791+93</f>
        <v>884</v>
      </c>
      <c r="J98" s="11">
        <f t="shared" si="31"/>
        <v>79.9090909090909</v>
      </c>
      <c r="K98" s="11">
        <f t="shared" si="32"/>
        <v>80.36363636363636</v>
      </c>
      <c r="L98" s="4">
        <f t="shared" si="33"/>
        <v>-5</v>
      </c>
    </row>
    <row r="99" spans="1:12" ht="15.75">
      <c r="A99" s="16">
        <f t="shared" si="29"/>
        <v>98</v>
      </c>
      <c r="B99" s="5" t="s">
        <v>40</v>
      </c>
      <c r="C99" s="17" t="s">
        <v>143</v>
      </c>
      <c r="D99" s="16">
        <f t="shared" si="30"/>
        <v>15</v>
      </c>
      <c r="E99" s="16">
        <v>11</v>
      </c>
      <c r="F99" s="16">
        <v>4</v>
      </c>
      <c r="G99" s="16">
        <v>7</v>
      </c>
      <c r="H99" s="16">
        <f>732+92</f>
        <v>824</v>
      </c>
      <c r="I99" s="16">
        <f>764+73</f>
        <v>837</v>
      </c>
      <c r="J99" s="11">
        <f t="shared" si="31"/>
        <v>74.9090909090909</v>
      </c>
      <c r="K99" s="11">
        <f t="shared" si="32"/>
        <v>76.0909090909091</v>
      </c>
      <c r="L99" s="4">
        <f t="shared" si="33"/>
        <v>-13</v>
      </c>
    </row>
    <row r="100" spans="1:12" ht="15.75">
      <c r="A100" s="16">
        <f aca="true" t="shared" si="34" ref="A100:A115">A99+1</f>
        <v>99</v>
      </c>
      <c r="B100" s="5" t="s">
        <v>38</v>
      </c>
      <c r="C100" s="17" t="s">
        <v>153</v>
      </c>
      <c r="D100" s="16">
        <f t="shared" si="30"/>
        <v>15</v>
      </c>
      <c r="E100" s="16">
        <v>11</v>
      </c>
      <c r="F100" s="16">
        <v>4</v>
      </c>
      <c r="G100" s="16">
        <v>7</v>
      </c>
      <c r="H100" s="16">
        <f>774+64</f>
        <v>838</v>
      </c>
      <c r="I100" s="16">
        <f>795+87</f>
        <v>882</v>
      </c>
      <c r="J100" s="11">
        <f t="shared" si="31"/>
        <v>76.18181818181819</v>
      </c>
      <c r="K100" s="11">
        <f t="shared" si="32"/>
        <v>80.18181818181819</v>
      </c>
      <c r="L100" s="4">
        <f t="shared" si="33"/>
        <v>-44</v>
      </c>
    </row>
    <row r="101" spans="1:12" ht="15.75">
      <c r="A101" s="16">
        <f t="shared" si="34"/>
        <v>100</v>
      </c>
      <c r="B101" s="5" t="s">
        <v>49</v>
      </c>
      <c r="C101" s="17" t="s">
        <v>126</v>
      </c>
      <c r="D101" s="16">
        <f t="shared" si="30"/>
        <v>15</v>
      </c>
      <c r="E101" s="16">
        <v>11</v>
      </c>
      <c r="F101" s="16">
        <v>4</v>
      </c>
      <c r="G101" s="16">
        <v>7</v>
      </c>
      <c r="H101" s="16">
        <f>810+75</f>
        <v>885</v>
      </c>
      <c r="I101" s="16">
        <f>864+79</f>
        <v>943</v>
      </c>
      <c r="J101" s="11">
        <f t="shared" si="31"/>
        <v>80.45454545454545</v>
      </c>
      <c r="K101" s="11">
        <f t="shared" si="32"/>
        <v>85.72727272727273</v>
      </c>
      <c r="L101" s="4">
        <f t="shared" si="33"/>
        <v>-58</v>
      </c>
    </row>
    <row r="102" spans="1:12" ht="15.75">
      <c r="A102" s="16">
        <f t="shared" si="34"/>
        <v>101</v>
      </c>
      <c r="B102" s="5" t="s">
        <v>40</v>
      </c>
      <c r="C102" s="17" t="s">
        <v>65</v>
      </c>
      <c r="D102" s="16">
        <f t="shared" si="30"/>
        <v>15</v>
      </c>
      <c r="E102" s="16">
        <v>11</v>
      </c>
      <c r="F102" s="16">
        <v>4</v>
      </c>
      <c r="G102" s="16">
        <v>7</v>
      </c>
      <c r="H102" s="16">
        <f>815+73</f>
        <v>888</v>
      </c>
      <c r="I102" s="16">
        <f>855+92</f>
        <v>947</v>
      </c>
      <c r="J102" s="11">
        <f t="shared" si="31"/>
        <v>80.72727272727273</v>
      </c>
      <c r="K102" s="11">
        <f t="shared" si="32"/>
        <v>86.0909090909091</v>
      </c>
      <c r="L102" s="4">
        <f t="shared" si="33"/>
        <v>-59</v>
      </c>
    </row>
    <row r="103" spans="1:12" ht="15.75">
      <c r="A103" s="16">
        <f t="shared" si="34"/>
        <v>102</v>
      </c>
      <c r="B103" s="5" t="s">
        <v>10</v>
      </c>
      <c r="C103" s="17" t="s">
        <v>110</v>
      </c>
      <c r="D103" s="16">
        <f t="shared" si="30"/>
        <v>15</v>
      </c>
      <c r="E103" s="16">
        <v>11</v>
      </c>
      <c r="F103" s="16">
        <v>4</v>
      </c>
      <c r="G103" s="16">
        <v>7</v>
      </c>
      <c r="H103" s="16">
        <f>805+84</f>
        <v>889</v>
      </c>
      <c r="I103" s="16">
        <f>872+90</f>
        <v>962</v>
      </c>
      <c r="J103" s="11">
        <f t="shared" si="31"/>
        <v>80.81818181818181</v>
      </c>
      <c r="K103" s="11">
        <f t="shared" si="32"/>
        <v>87.45454545454545</v>
      </c>
      <c r="L103" s="4">
        <f t="shared" si="33"/>
        <v>-73</v>
      </c>
    </row>
    <row r="104" spans="1:12" ht="16.5">
      <c r="A104" s="16">
        <f t="shared" si="34"/>
        <v>103</v>
      </c>
      <c r="B104" s="5" t="s">
        <v>50</v>
      </c>
      <c r="C104" s="20" t="s">
        <v>119</v>
      </c>
      <c r="D104" s="16">
        <f t="shared" si="30"/>
        <v>15</v>
      </c>
      <c r="E104" s="16">
        <v>11</v>
      </c>
      <c r="F104" s="16">
        <v>4</v>
      </c>
      <c r="G104" s="16">
        <v>7</v>
      </c>
      <c r="H104" s="16">
        <f>704+68</f>
        <v>772</v>
      </c>
      <c r="I104" s="16">
        <f>780+90</f>
        <v>870</v>
      </c>
      <c r="J104" s="11">
        <f t="shared" si="31"/>
        <v>70.18181818181819</v>
      </c>
      <c r="K104" s="11">
        <f t="shared" si="32"/>
        <v>79.0909090909091</v>
      </c>
      <c r="L104" s="4">
        <f t="shared" si="33"/>
        <v>-98</v>
      </c>
    </row>
    <row r="105" spans="1:12" ht="15.75">
      <c r="A105" s="16">
        <f t="shared" si="34"/>
        <v>104</v>
      </c>
      <c r="B105" s="5" t="s">
        <v>24</v>
      </c>
      <c r="C105" s="17" t="s">
        <v>92</v>
      </c>
      <c r="D105" s="16">
        <f t="shared" si="30"/>
        <v>15</v>
      </c>
      <c r="E105" s="16">
        <v>11</v>
      </c>
      <c r="F105" s="16">
        <v>4</v>
      </c>
      <c r="G105" s="16">
        <v>7</v>
      </c>
      <c r="H105" s="16">
        <f>781+70</f>
        <v>851</v>
      </c>
      <c r="I105" s="16">
        <f>868+85</f>
        <v>953</v>
      </c>
      <c r="J105" s="11">
        <f t="shared" si="31"/>
        <v>77.36363636363636</v>
      </c>
      <c r="K105" s="11">
        <f t="shared" si="32"/>
        <v>86.63636363636364</v>
      </c>
      <c r="L105" s="4">
        <f t="shared" si="33"/>
        <v>-102</v>
      </c>
    </row>
    <row r="106" spans="1:12" ht="15.75">
      <c r="A106" s="16">
        <f t="shared" si="34"/>
        <v>105</v>
      </c>
      <c r="B106" s="5" t="s">
        <v>44</v>
      </c>
      <c r="C106" s="17" t="s">
        <v>130</v>
      </c>
      <c r="D106" s="16">
        <f t="shared" si="30"/>
        <v>15</v>
      </c>
      <c r="E106" s="16">
        <v>11</v>
      </c>
      <c r="F106" s="16">
        <v>4</v>
      </c>
      <c r="G106" s="16">
        <v>7</v>
      </c>
      <c r="H106" s="16">
        <f>677+80</f>
        <v>757</v>
      </c>
      <c r="I106" s="16">
        <f>791+72</f>
        <v>863</v>
      </c>
      <c r="J106" s="11">
        <f t="shared" si="31"/>
        <v>68.81818181818181</v>
      </c>
      <c r="K106" s="11">
        <f t="shared" si="32"/>
        <v>78.45454545454545</v>
      </c>
      <c r="L106" s="4">
        <f aca="true" t="shared" si="35" ref="L106:L118">H106-I106</f>
        <v>-106</v>
      </c>
    </row>
    <row r="107" spans="1:12" ht="15.75">
      <c r="A107" s="16">
        <f t="shared" si="34"/>
        <v>106</v>
      </c>
      <c r="B107" s="5" t="s">
        <v>36</v>
      </c>
      <c r="C107" s="17" t="s">
        <v>162</v>
      </c>
      <c r="D107" s="16">
        <f t="shared" si="30"/>
        <v>15</v>
      </c>
      <c r="E107" s="16">
        <v>11</v>
      </c>
      <c r="F107" s="16">
        <v>4</v>
      </c>
      <c r="G107" s="16">
        <v>7</v>
      </c>
      <c r="H107" s="16">
        <f>747+61</f>
        <v>808</v>
      </c>
      <c r="I107" s="16">
        <f>846+73</f>
        <v>919</v>
      </c>
      <c r="J107" s="11">
        <f aca="true" t="shared" si="36" ref="J107:J118">H107/E107</f>
        <v>73.45454545454545</v>
      </c>
      <c r="K107" s="11">
        <f aca="true" t="shared" si="37" ref="K107:K118">I107/E107</f>
        <v>83.54545454545455</v>
      </c>
      <c r="L107" s="4">
        <f t="shared" si="35"/>
        <v>-111</v>
      </c>
    </row>
    <row r="108" spans="1:12" ht="16.5">
      <c r="A108" s="16">
        <f t="shared" si="34"/>
        <v>107</v>
      </c>
      <c r="B108" s="5" t="s">
        <v>40</v>
      </c>
      <c r="C108" s="20" t="s">
        <v>142</v>
      </c>
      <c r="D108" s="16">
        <f t="shared" si="30"/>
        <v>14</v>
      </c>
      <c r="E108" s="16">
        <v>11</v>
      </c>
      <c r="F108" s="16">
        <v>3</v>
      </c>
      <c r="G108" s="16">
        <v>8</v>
      </c>
      <c r="H108" s="16">
        <f>751+77</f>
        <v>828</v>
      </c>
      <c r="I108" s="16">
        <f>769+88</f>
        <v>857</v>
      </c>
      <c r="J108" s="11">
        <f t="shared" si="36"/>
        <v>75.27272727272727</v>
      </c>
      <c r="K108" s="11">
        <f t="shared" si="37"/>
        <v>77.9090909090909</v>
      </c>
      <c r="L108" s="4">
        <f t="shared" si="35"/>
        <v>-29</v>
      </c>
    </row>
    <row r="109" spans="1:12" ht="16.5">
      <c r="A109" s="16">
        <f t="shared" si="34"/>
        <v>108</v>
      </c>
      <c r="B109" s="5" t="s">
        <v>44</v>
      </c>
      <c r="C109" s="20" t="s">
        <v>135</v>
      </c>
      <c r="D109" s="16">
        <f t="shared" si="30"/>
        <v>14</v>
      </c>
      <c r="E109" s="16">
        <v>11</v>
      </c>
      <c r="F109" s="16">
        <v>3</v>
      </c>
      <c r="G109" s="16">
        <v>8</v>
      </c>
      <c r="H109" s="16">
        <f>704+93</f>
        <v>797</v>
      </c>
      <c r="I109" s="16">
        <f>761+74</f>
        <v>835</v>
      </c>
      <c r="J109" s="11">
        <f t="shared" si="36"/>
        <v>72.45454545454545</v>
      </c>
      <c r="K109" s="11">
        <f t="shared" si="37"/>
        <v>75.9090909090909</v>
      </c>
      <c r="L109" s="4">
        <f t="shared" si="35"/>
        <v>-38</v>
      </c>
    </row>
    <row r="110" spans="1:12" ht="16.5">
      <c r="A110" s="16">
        <f t="shared" si="34"/>
        <v>109</v>
      </c>
      <c r="B110" s="5" t="s">
        <v>44</v>
      </c>
      <c r="C110" s="20" t="s">
        <v>132</v>
      </c>
      <c r="D110" s="16">
        <f t="shared" si="30"/>
        <v>14</v>
      </c>
      <c r="E110" s="16">
        <v>11</v>
      </c>
      <c r="F110" s="16">
        <v>3</v>
      </c>
      <c r="G110" s="16">
        <v>8</v>
      </c>
      <c r="H110" s="16">
        <f>721+68</f>
        <v>789</v>
      </c>
      <c r="I110" s="16">
        <f>777+73</f>
        <v>850</v>
      </c>
      <c r="J110" s="11">
        <f t="shared" si="36"/>
        <v>71.72727272727273</v>
      </c>
      <c r="K110" s="11">
        <f t="shared" si="37"/>
        <v>77.27272727272727</v>
      </c>
      <c r="L110" s="4">
        <f t="shared" si="35"/>
        <v>-61</v>
      </c>
    </row>
    <row r="111" spans="1:12" ht="15.75">
      <c r="A111" s="16">
        <f t="shared" si="34"/>
        <v>110</v>
      </c>
      <c r="B111" s="5" t="s">
        <v>40</v>
      </c>
      <c r="C111" s="17" t="s">
        <v>37</v>
      </c>
      <c r="D111" s="16">
        <f t="shared" si="30"/>
        <v>14</v>
      </c>
      <c r="E111" s="16">
        <v>11</v>
      </c>
      <c r="F111" s="16">
        <v>3</v>
      </c>
      <c r="G111" s="16">
        <v>8</v>
      </c>
      <c r="H111" s="16">
        <f>778+77</f>
        <v>855</v>
      </c>
      <c r="I111" s="16">
        <f>841+80</f>
        <v>921</v>
      </c>
      <c r="J111" s="11">
        <f t="shared" si="36"/>
        <v>77.72727272727273</v>
      </c>
      <c r="K111" s="11">
        <f t="shared" si="37"/>
        <v>83.72727272727273</v>
      </c>
      <c r="L111" s="4">
        <f t="shared" si="35"/>
        <v>-66</v>
      </c>
    </row>
    <row r="112" spans="1:12" ht="16.5">
      <c r="A112" s="16">
        <f t="shared" si="34"/>
        <v>111</v>
      </c>
      <c r="B112" s="5" t="s">
        <v>17</v>
      </c>
      <c r="C112" s="28" t="s">
        <v>20</v>
      </c>
      <c r="D112" s="26">
        <f t="shared" si="30"/>
        <v>14</v>
      </c>
      <c r="E112" s="26">
        <v>11</v>
      </c>
      <c r="F112" s="26">
        <v>3</v>
      </c>
      <c r="G112" s="26">
        <v>8</v>
      </c>
      <c r="H112" s="26">
        <f>710+56</f>
        <v>766</v>
      </c>
      <c r="I112" s="26">
        <f>759+74</f>
        <v>833</v>
      </c>
      <c r="J112" s="11">
        <f t="shared" si="36"/>
        <v>69.63636363636364</v>
      </c>
      <c r="K112" s="11">
        <f t="shared" si="37"/>
        <v>75.72727272727273</v>
      </c>
      <c r="L112" s="4">
        <f t="shared" si="35"/>
        <v>-67</v>
      </c>
    </row>
    <row r="113" spans="1:12" ht="16.5">
      <c r="A113" s="16">
        <f t="shared" si="34"/>
        <v>112</v>
      </c>
      <c r="B113" s="5" t="s">
        <v>28</v>
      </c>
      <c r="C113" s="20" t="s">
        <v>80</v>
      </c>
      <c r="D113" s="16">
        <f t="shared" si="30"/>
        <v>14</v>
      </c>
      <c r="E113" s="16">
        <v>11</v>
      </c>
      <c r="F113" s="16">
        <v>3</v>
      </c>
      <c r="G113" s="16">
        <v>8</v>
      </c>
      <c r="H113" s="16">
        <f>702+71</f>
        <v>773</v>
      </c>
      <c r="I113" s="16">
        <f>763+80</f>
        <v>843</v>
      </c>
      <c r="J113" s="11">
        <f t="shared" si="36"/>
        <v>70.27272727272727</v>
      </c>
      <c r="K113" s="11">
        <f t="shared" si="37"/>
        <v>76.63636363636364</v>
      </c>
      <c r="L113" s="4">
        <f t="shared" si="35"/>
        <v>-70</v>
      </c>
    </row>
    <row r="114" spans="1:12" ht="16.5">
      <c r="A114" s="16">
        <f t="shared" si="34"/>
        <v>113</v>
      </c>
      <c r="B114" s="5" t="s">
        <v>49</v>
      </c>
      <c r="C114" s="20" t="s">
        <v>166</v>
      </c>
      <c r="D114" s="16">
        <f t="shared" si="30"/>
        <v>14</v>
      </c>
      <c r="E114" s="16">
        <v>11</v>
      </c>
      <c r="F114" s="16">
        <v>3</v>
      </c>
      <c r="G114" s="16">
        <v>8</v>
      </c>
      <c r="H114" s="16">
        <f>758+79</f>
        <v>837</v>
      </c>
      <c r="I114" s="16">
        <f>811+96</f>
        <v>907</v>
      </c>
      <c r="J114" s="11">
        <f t="shared" si="36"/>
        <v>76.0909090909091</v>
      </c>
      <c r="K114" s="11">
        <f t="shared" si="37"/>
        <v>82.45454545454545</v>
      </c>
      <c r="L114" s="4">
        <f t="shared" si="35"/>
        <v>-70</v>
      </c>
    </row>
    <row r="115" spans="1:12" ht="15.75">
      <c r="A115" s="16">
        <f t="shared" si="34"/>
        <v>114</v>
      </c>
      <c r="B115" s="5" t="s">
        <v>32</v>
      </c>
      <c r="C115" s="17" t="s">
        <v>31</v>
      </c>
      <c r="D115" s="16">
        <f t="shared" si="30"/>
        <v>14</v>
      </c>
      <c r="E115" s="16">
        <v>11</v>
      </c>
      <c r="F115" s="16">
        <v>3</v>
      </c>
      <c r="G115" s="16">
        <v>8</v>
      </c>
      <c r="H115" s="16">
        <v>725</v>
      </c>
      <c r="I115" s="16">
        <v>796</v>
      </c>
      <c r="J115" s="11">
        <f aca="true" t="shared" si="38" ref="J115:J132">H115/E115</f>
        <v>65.9090909090909</v>
      </c>
      <c r="K115" s="11">
        <f aca="true" t="shared" si="39" ref="K115:K132">I115/E115</f>
        <v>72.36363636363636</v>
      </c>
      <c r="L115" s="4">
        <f aca="true" t="shared" si="40" ref="L115:L131">H115-I115</f>
        <v>-71</v>
      </c>
    </row>
    <row r="116" spans="1:12" ht="16.5">
      <c r="A116" s="16">
        <f aca="true" t="shared" si="41" ref="A116:A131">A115+1</f>
        <v>115</v>
      </c>
      <c r="B116" s="5" t="s">
        <v>40</v>
      </c>
      <c r="C116" s="20" t="s">
        <v>144</v>
      </c>
      <c r="D116" s="16">
        <f t="shared" si="30"/>
        <v>14</v>
      </c>
      <c r="E116" s="16">
        <v>11</v>
      </c>
      <c r="F116" s="16">
        <v>3</v>
      </c>
      <c r="G116" s="16">
        <v>8</v>
      </c>
      <c r="H116" s="16">
        <f>651+88</f>
        <v>739</v>
      </c>
      <c r="I116" s="16">
        <f>744+77</f>
        <v>821</v>
      </c>
      <c r="J116" s="11">
        <f t="shared" si="36"/>
        <v>67.18181818181819</v>
      </c>
      <c r="K116" s="11">
        <f t="shared" si="37"/>
        <v>74.63636363636364</v>
      </c>
      <c r="L116" s="4">
        <f t="shared" si="35"/>
        <v>-82</v>
      </c>
    </row>
    <row r="117" spans="1:12" ht="16.5">
      <c r="A117" s="16">
        <f t="shared" si="41"/>
        <v>116</v>
      </c>
      <c r="B117" s="5" t="s">
        <v>32</v>
      </c>
      <c r="C117" s="20" t="s">
        <v>78</v>
      </c>
      <c r="D117" s="16">
        <f t="shared" si="30"/>
        <v>14</v>
      </c>
      <c r="E117" s="16">
        <v>11</v>
      </c>
      <c r="F117" s="16">
        <v>3</v>
      </c>
      <c r="G117" s="16">
        <v>8</v>
      </c>
      <c r="H117" s="16">
        <f>742+73</f>
        <v>815</v>
      </c>
      <c r="I117" s="16">
        <f>835+70</f>
        <v>905</v>
      </c>
      <c r="J117" s="11">
        <f t="shared" si="36"/>
        <v>74.0909090909091</v>
      </c>
      <c r="K117" s="11">
        <f t="shared" si="37"/>
        <v>82.27272727272727</v>
      </c>
      <c r="L117" s="4">
        <f t="shared" si="35"/>
        <v>-90</v>
      </c>
    </row>
    <row r="118" spans="1:12" ht="16.5">
      <c r="A118" s="16">
        <f t="shared" si="41"/>
        <v>117</v>
      </c>
      <c r="B118" s="5" t="s">
        <v>24</v>
      </c>
      <c r="C118" s="20" t="s">
        <v>89</v>
      </c>
      <c r="D118" s="16">
        <f t="shared" si="30"/>
        <v>14</v>
      </c>
      <c r="E118" s="16">
        <v>11</v>
      </c>
      <c r="F118" s="16">
        <v>3</v>
      </c>
      <c r="G118" s="16">
        <v>8</v>
      </c>
      <c r="H118" s="16">
        <f>694+85</f>
        <v>779</v>
      </c>
      <c r="I118" s="16">
        <v>873</v>
      </c>
      <c r="J118" s="11">
        <f t="shared" si="36"/>
        <v>70.81818181818181</v>
      </c>
      <c r="K118" s="11">
        <f t="shared" si="37"/>
        <v>79.36363636363636</v>
      </c>
      <c r="L118" s="4">
        <f t="shared" si="35"/>
        <v>-94</v>
      </c>
    </row>
    <row r="119" spans="1:12" ht="15.75">
      <c r="A119" s="16">
        <f t="shared" si="41"/>
        <v>118</v>
      </c>
      <c r="B119" s="5" t="s">
        <v>44</v>
      </c>
      <c r="C119" s="17" t="s">
        <v>136</v>
      </c>
      <c r="D119" s="16">
        <f aca="true" t="shared" si="42" ref="D119:D130">E119+F119</f>
        <v>14</v>
      </c>
      <c r="E119" s="16">
        <v>11</v>
      </c>
      <c r="F119" s="16">
        <v>3</v>
      </c>
      <c r="G119" s="16">
        <v>8</v>
      </c>
      <c r="H119" s="16">
        <f>685+71</f>
        <v>756</v>
      </c>
      <c r="I119" s="16">
        <f>793+83</f>
        <v>876</v>
      </c>
      <c r="J119" s="11">
        <f>H119/E119</f>
        <v>68.72727272727273</v>
      </c>
      <c r="K119" s="11">
        <f>I119/E119</f>
        <v>79.63636363636364</v>
      </c>
      <c r="L119" s="4">
        <f>H119-I119</f>
        <v>-120</v>
      </c>
    </row>
    <row r="120" spans="1:12" ht="16.5">
      <c r="A120" s="16">
        <f t="shared" si="41"/>
        <v>119</v>
      </c>
      <c r="B120" s="5" t="s">
        <v>21</v>
      </c>
      <c r="C120" s="20" t="s">
        <v>100</v>
      </c>
      <c r="D120" s="16">
        <f t="shared" si="42"/>
        <v>14</v>
      </c>
      <c r="E120" s="16">
        <v>11</v>
      </c>
      <c r="F120" s="16">
        <v>3</v>
      </c>
      <c r="G120" s="16">
        <v>8</v>
      </c>
      <c r="H120" s="16">
        <f>601+89</f>
        <v>690</v>
      </c>
      <c r="I120" s="16">
        <f>741+72</f>
        <v>813</v>
      </c>
      <c r="J120" s="11">
        <f>H120/E120</f>
        <v>62.72727272727273</v>
      </c>
      <c r="K120" s="11">
        <f>I120/E120</f>
        <v>73.9090909090909</v>
      </c>
      <c r="L120" s="4">
        <f t="shared" si="40"/>
        <v>-123</v>
      </c>
    </row>
    <row r="121" spans="1:12" ht="16.5">
      <c r="A121" s="16">
        <f t="shared" si="41"/>
        <v>120</v>
      </c>
      <c r="B121" s="5" t="s">
        <v>21</v>
      </c>
      <c r="C121" s="20" t="s">
        <v>25</v>
      </c>
      <c r="D121" s="16">
        <f t="shared" si="42"/>
        <v>14</v>
      </c>
      <c r="E121" s="16">
        <v>11</v>
      </c>
      <c r="F121" s="16">
        <v>3</v>
      </c>
      <c r="G121" s="16">
        <v>8</v>
      </c>
      <c r="H121" s="16">
        <f>718+85</f>
        <v>803</v>
      </c>
      <c r="I121" s="16">
        <v>936</v>
      </c>
      <c r="J121" s="11">
        <f t="shared" si="38"/>
        <v>73</v>
      </c>
      <c r="K121" s="11">
        <f t="shared" si="39"/>
        <v>85.0909090909091</v>
      </c>
      <c r="L121" s="4">
        <f t="shared" si="40"/>
        <v>-133</v>
      </c>
    </row>
    <row r="122" spans="1:12" ht="15.75">
      <c r="A122" s="16">
        <f t="shared" si="41"/>
        <v>121</v>
      </c>
      <c r="B122" s="5" t="s">
        <v>28</v>
      </c>
      <c r="C122" s="17" t="s">
        <v>35</v>
      </c>
      <c r="D122" s="16">
        <f t="shared" si="42"/>
        <v>14</v>
      </c>
      <c r="E122" s="16">
        <v>11</v>
      </c>
      <c r="F122" s="16">
        <v>3</v>
      </c>
      <c r="G122" s="16">
        <v>8</v>
      </c>
      <c r="H122" s="16">
        <f>747+60</f>
        <v>807</v>
      </c>
      <c r="I122" s="16">
        <f>849+101</f>
        <v>950</v>
      </c>
      <c r="J122" s="11">
        <f t="shared" si="38"/>
        <v>73.36363636363636</v>
      </c>
      <c r="K122" s="11">
        <f t="shared" si="39"/>
        <v>86.36363636363636</v>
      </c>
      <c r="L122" s="4">
        <f t="shared" si="40"/>
        <v>-143</v>
      </c>
    </row>
    <row r="123" spans="1:12" ht="16.5">
      <c r="A123" s="16">
        <f t="shared" si="41"/>
        <v>122</v>
      </c>
      <c r="B123" s="5" t="s">
        <v>24</v>
      </c>
      <c r="C123" s="20" t="s">
        <v>90</v>
      </c>
      <c r="D123" s="16">
        <f t="shared" si="42"/>
        <v>13</v>
      </c>
      <c r="E123" s="16">
        <v>11</v>
      </c>
      <c r="F123" s="16">
        <v>2</v>
      </c>
      <c r="G123" s="16">
        <v>9</v>
      </c>
      <c r="H123" s="16">
        <f>678+75</f>
        <v>753</v>
      </c>
      <c r="I123" s="16">
        <f>747+69</f>
        <v>816</v>
      </c>
      <c r="J123" s="11">
        <f t="shared" si="38"/>
        <v>68.45454545454545</v>
      </c>
      <c r="K123" s="11">
        <f t="shared" si="39"/>
        <v>74.18181818181819</v>
      </c>
      <c r="L123" s="4">
        <f t="shared" si="40"/>
        <v>-63</v>
      </c>
    </row>
    <row r="124" spans="1:12" ht="16.5">
      <c r="A124" s="16">
        <f t="shared" si="41"/>
        <v>123</v>
      </c>
      <c r="B124" s="5" t="s">
        <v>10</v>
      </c>
      <c r="C124" s="20" t="s">
        <v>112</v>
      </c>
      <c r="D124" s="16">
        <f t="shared" si="42"/>
        <v>13</v>
      </c>
      <c r="E124" s="16">
        <v>11</v>
      </c>
      <c r="F124" s="16">
        <v>2</v>
      </c>
      <c r="G124" s="16">
        <v>9</v>
      </c>
      <c r="H124" s="16">
        <f>766+54</f>
        <v>820</v>
      </c>
      <c r="I124" s="16">
        <f>815+79</f>
        <v>894</v>
      </c>
      <c r="J124" s="11">
        <f t="shared" si="38"/>
        <v>74.54545454545455</v>
      </c>
      <c r="K124" s="11">
        <f t="shared" si="39"/>
        <v>81.27272727272727</v>
      </c>
      <c r="L124" s="4">
        <f t="shared" si="40"/>
        <v>-74</v>
      </c>
    </row>
    <row r="125" spans="1:12" ht="16.5">
      <c r="A125" s="16">
        <f t="shared" si="41"/>
        <v>124</v>
      </c>
      <c r="B125" s="5" t="s">
        <v>38</v>
      </c>
      <c r="C125" s="21" t="s">
        <v>154</v>
      </c>
      <c r="D125" s="16">
        <f t="shared" si="42"/>
        <v>13</v>
      </c>
      <c r="E125" s="16">
        <v>11</v>
      </c>
      <c r="F125" s="16">
        <v>2</v>
      </c>
      <c r="G125" s="16">
        <v>9</v>
      </c>
      <c r="H125" s="16">
        <f>727+88</f>
        <v>815</v>
      </c>
      <c r="I125" s="16">
        <f>793+97</f>
        <v>890</v>
      </c>
      <c r="J125" s="11">
        <f t="shared" si="38"/>
        <v>74.0909090909091</v>
      </c>
      <c r="K125" s="11">
        <f t="shared" si="39"/>
        <v>80.9090909090909</v>
      </c>
      <c r="L125" s="4">
        <f t="shared" si="40"/>
        <v>-75</v>
      </c>
    </row>
    <row r="126" spans="1:12" ht="16.5">
      <c r="A126" s="16">
        <f t="shared" si="41"/>
        <v>125</v>
      </c>
      <c r="B126" s="5" t="s">
        <v>36</v>
      </c>
      <c r="C126" s="20" t="s">
        <v>161</v>
      </c>
      <c r="D126" s="16">
        <f t="shared" si="42"/>
        <v>13</v>
      </c>
      <c r="E126" s="16">
        <v>11</v>
      </c>
      <c r="F126" s="16">
        <v>2</v>
      </c>
      <c r="G126" s="16">
        <v>9</v>
      </c>
      <c r="H126" s="16">
        <f>694+83</f>
        <v>777</v>
      </c>
      <c r="I126" s="16">
        <f>755+99</f>
        <v>854</v>
      </c>
      <c r="J126" s="11">
        <f t="shared" si="38"/>
        <v>70.63636363636364</v>
      </c>
      <c r="K126" s="11">
        <f t="shared" si="39"/>
        <v>77.63636363636364</v>
      </c>
      <c r="L126" s="4">
        <f t="shared" si="40"/>
        <v>-77</v>
      </c>
    </row>
    <row r="127" spans="1:12" ht="16.5">
      <c r="A127" s="16">
        <f t="shared" si="41"/>
        <v>126</v>
      </c>
      <c r="B127" s="5" t="s">
        <v>17</v>
      </c>
      <c r="C127" s="28" t="s">
        <v>70</v>
      </c>
      <c r="D127" s="26">
        <f t="shared" si="42"/>
        <v>13</v>
      </c>
      <c r="E127" s="26">
        <v>11</v>
      </c>
      <c r="F127" s="26">
        <v>2</v>
      </c>
      <c r="G127" s="26">
        <v>9</v>
      </c>
      <c r="H127" s="26">
        <f>713+81</f>
        <v>794</v>
      </c>
      <c r="I127" s="26">
        <f>820+56</f>
        <v>876</v>
      </c>
      <c r="J127" s="11">
        <f t="shared" si="38"/>
        <v>72.18181818181819</v>
      </c>
      <c r="K127" s="11">
        <f t="shared" si="39"/>
        <v>79.63636363636364</v>
      </c>
      <c r="L127" s="4">
        <f t="shared" si="40"/>
        <v>-82</v>
      </c>
    </row>
    <row r="128" spans="1:12" ht="16.5">
      <c r="A128" s="16">
        <f t="shared" si="41"/>
        <v>127</v>
      </c>
      <c r="B128" s="5" t="s">
        <v>38</v>
      </c>
      <c r="C128" s="20" t="s">
        <v>155</v>
      </c>
      <c r="D128" s="16">
        <f t="shared" si="42"/>
        <v>13</v>
      </c>
      <c r="E128" s="16">
        <v>11</v>
      </c>
      <c r="F128" s="16">
        <v>2</v>
      </c>
      <c r="G128" s="16">
        <v>9</v>
      </c>
      <c r="H128" s="16">
        <v>880</v>
      </c>
      <c r="I128" s="16">
        <v>979</v>
      </c>
      <c r="J128" s="11">
        <f t="shared" si="38"/>
        <v>80</v>
      </c>
      <c r="K128" s="11">
        <f t="shared" si="39"/>
        <v>89</v>
      </c>
      <c r="L128" s="4">
        <f t="shared" si="40"/>
        <v>-99</v>
      </c>
    </row>
    <row r="129" spans="1:12" ht="16.5">
      <c r="A129" s="16">
        <f t="shared" si="41"/>
        <v>128</v>
      </c>
      <c r="B129" s="5" t="s">
        <v>40</v>
      </c>
      <c r="C129" s="21" t="s">
        <v>145</v>
      </c>
      <c r="D129" s="16">
        <f t="shared" si="42"/>
        <v>13</v>
      </c>
      <c r="E129" s="16">
        <v>11</v>
      </c>
      <c r="F129" s="16">
        <v>2</v>
      </c>
      <c r="G129" s="16">
        <v>9</v>
      </c>
      <c r="H129" s="16">
        <v>781</v>
      </c>
      <c r="I129" s="16">
        <v>887</v>
      </c>
      <c r="J129" s="11">
        <f t="shared" si="38"/>
        <v>71</v>
      </c>
      <c r="K129" s="11">
        <f t="shared" si="39"/>
        <v>80.63636363636364</v>
      </c>
      <c r="L129" s="4">
        <f t="shared" si="40"/>
        <v>-106</v>
      </c>
    </row>
    <row r="130" spans="1:12" ht="16.5">
      <c r="A130" s="16">
        <f t="shared" si="41"/>
        <v>129</v>
      </c>
      <c r="B130" s="5" t="s">
        <v>32</v>
      </c>
      <c r="C130" s="20" t="s">
        <v>76</v>
      </c>
      <c r="D130" s="16">
        <f t="shared" si="42"/>
        <v>13</v>
      </c>
      <c r="E130" s="16">
        <v>11</v>
      </c>
      <c r="F130" s="16">
        <v>2</v>
      </c>
      <c r="G130" s="16">
        <v>9</v>
      </c>
      <c r="H130" s="16">
        <f>756+64</f>
        <v>820</v>
      </c>
      <c r="I130" s="16">
        <f>860+76</f>
        <v>936</v>
      </c>
      <c r="J130" s="11">
        <f>H130/E130</f>
        <v>74.54545454545455</v>
      </c>
      <c r="K130" s="11">
        <f>I130/E130</f>
        <v>85.0909090909091</v>
      </c>
      <c r="L130" s="4">
        <f>H130-I130</f>
        <v>-116</v>
      </c>
    </row>
    <row r="131" spans="1:12" ht="16.5">
      <c r="A131" s="16">
        <f t="shared" si="41"/>
        <v>130</v>
      </c>
      <c r="B131" s="5" t="s">
        <v>10</v>
      </c>
      <c r="C131" s="20" t="s">
        <v>14</v>
      </c>
      <c r="D131" s="16">
        <f aca="true" t="shared" si="43" ref="D131:D145">E131+F131</f>
        <v>13</v>
      </c>
      <c r="E131" s="16">
        <v>11</v>
      </c>
      <c r="F131" s="16">
        <v>2</v>
      </c>
      <c r="G131" s="16">
        <v>9</v>
      </c>
      <c r="H131" s="16">
        <f>734+83</f>
        <v>817</v>
      </c>
      <c r="I131" s="16">
        <f>844+108</f>
        <v>952</v>
      </c>
      <c r="J131" s="11">
        <f>H131/E131</f>
        <v>74.27272727272727</v>
      </c>
      <c r="K131" s="11">
        <f>I131/E131</f>
        <v>86.54545454545455</v>
      </c>
      <c r="L131" s="4">
        <f t="shared" si="40"/>
        <v>-135</v>
      </c>
    </row>
    <row r="132" spans="1:12" ht="16.5">
      <c r="A132" s="16">
        <f aca="true" t="shared" si="44" ref="A132:A145">A131+1</f>
        <v>131</v>
      </c>
      <c r="B132" s="5" t="s">
        <v>32</v>
      </c>
      <c r="C132" s="21" t="s">
        <v>77</v>
      </c>
      <c r="D132" s="16">
        <f t="shared" si="43"/>
        <v>13</v>
      </c>
      <c r="E132" s="16">
        <v>11</v>
      </c>
      <c r="F132" s="16">
        <v>2</v>
      </c>
      <c r="G132" s="16">
        <v>9</v>
      </c>
      <c r="H132" s="16">
        <v>804</v>
      </c>
      <c r="I132" s="16">
        <v>940</v>
      </c>
      <c r="J132" s="11">
        <f t="shared" si="38"/>
        <v>73.0909090909091</v>
      </c>
      <c r="K132" s="11">
        <f t="shared" si="39"/>
        <v>85.45454545454545</v>
      </c>
      <c r="L132" s="4">
        <f aca="true" t="shared" si="45" ref="L132:L143">H132-I132</f>
        <v>-136</v>
      </c>
    </row>
    <row r="133" spans="1:12" ht="16.5">
      <c r="A133" s="16">
        <f t="shared" si="44"/>
        <v>132</v>
      </c>
      <c r="B133" s="5" t="s">
        <v>28</v>
      </c>
      <c r="C133" s="20" t="s">
        <v>81</v>
      </c>
      <c r="D133" s="16">
        <f t="shared" si="43"/>
        <v>13</v>
      </c>
      <c r="E133" s="16">
        <v>11</v>
      </c>
      <c r="F133" s="16">
        <v>2</v>
      </c>
      <c r="G133" s="16">
        <v>9</v>
      </c>
      <c r="H133" s="16">
        <f>689+75</f>
        <v>764</v>
      </c>
      <c r="I133" s="16">
        <f>836+83</f>
        <v>919</v>
      </c>
      <c r="J133" s="11">
        <f aca="true" t="shared" si="46" ref="J133:J143">H133/E133</f>
        <v>69.45454545454545</v>
      </c>
      <c r="K133" s="11">
        <f aca="true" t="shared" si="47" ref="K133:K143">I133/E133</f>
        <v>83.54545454545455</v>
      </c>
      <c r="L133" s="4">
        <f>H133-I133</f>
        <v>-155</v>
      </c>
    </row>
    <row r="134" spans="1:12" ht="16.5">
      <c r="A134" s="16">
        <f t="shared" si="44"/>
        <v>133</v>
      </c>
      <c r="B134" s="5" t="s">
        <v>50</v>
      </c>
      <c r="C134" s="20" t="s">
        <v>121</v>
      </c>
      <c r="D134" s="16">
        <f t="shared" si="43"/>
        <v>13</v>
      </c>
      <c r="E134" s="16">
        <v>11</v>
      </c>
      <c r="F134" s="16">
        <v>2</v>
      </c>
      <c r="G134" s="16">
        <v>9</v>
      </c>
      <c r="H134" s="16">
        <f>648+78</f>
        <v>726</v>
      </c>
      <c r="I134" s="16">
        <f>775+116</f>
        <v>891</v>
      </c>
      <c r="J134" s="11">
        <f t="shared" si="46"/>
        <v>66</v>
      </c>
      <c r="K134" s="11">
        <f t="shared" si="47"/>
        <v>81</v>
      </c>
      <c r="L134" s="4">
        <f t="shared" si="45"/>
        <v>-165</v>
      </c>
    </row>
    <row r="135" spans="1:12" ht="16.5">
      <c r="A135" s="16">
        <f t="shared" si="44"/>
        <v>134</v>
      </c>
      <c r="B135" s="5" t="s">
        <v>49</v>
      </c>
      <c r="C135" s="31" t="s">
        <v>51</v>
      </c>
      <c r="D135" s="16">
        <f t="shared" si="43"/>
        <v>13</v>
      </c>
      <c r="E135" s="16">
        <v>11</v>
      </c>
      <c r="F135" s="16">
        <v>2</v>
      </c>
      <c r="G135" s="16">
        <v>9</v>
      </c>
      <c r="H135" s="16">
        <f>708+85</f>
        <v>793</v>
      </c>
      <c r="I135" s="16">
        <f>891+71</f>
        <v>962</v>
      </c>
      <c r="J135" s="11">
        <f t="shared" si="46"/>
        <v>72.0909090909091</v>
      </c>
      <c r="K135" s="11">
        <f t="shared" si="47"/>
        <v>87.45454545454545</v>
      </c>
      <c r="L135" s="4">
        <f t="shared" si="45"/>
        <v>-169</v>
      </c>
    </row>
    <row r="136" spans="1:12" ht="16.5">
      <c r="A136" s="16">
        <f t="shared" si="44"/>
        <v>135</v>
      </c>
      <c r="B136" s="5" t="s">
        <v>28</v>
      </c>
      <c r="C136" s="21" t="s">
        <v>26</v>
      </c>
      <c r="D136" s="16">
        <f t="shared" si="43"/>
        <v>12</v>
      </c>
      <c r="E136" s="16">
        <v>11</v>
      </c>
      <c r="F136" s="16">
        <v>1</v>
      </c>
      <c r="G136" s="16">
        <v>10</v>
      </c>
      <c r="H136" s="16">
        <f>649+58</f>
        <v>707</v>
      </c>
      <c r="I136" s="16">
        <f>741+63</f>
        <v>804</v>
      </c>
      <c r="J136" s="11">
        <f t="shared" si="46"/>
        <v>64.27272727272727</v>
      </c>
      <c r="K136" s="11">
        <f t="shared" si="47"/>
        <v>73.0909090909091</v>
      </c>
      <c r="L136" s="4">
        <f t="shared" si="45"/>
        <v>-97</v>
      </c>
    </row>
    <row r="137" spans="1:12" ht="16.5">
      <c r="A137" s="16">
        <f t="shared" si="44"/>
        <v>136</v>
      </c>
      <c r="B137" s="5" t="s">
        <v>36</v>
      </c>
      <c r="C137" s="20" t="s">
        <v>41</v>
      </c>
      <c r="D137" s="16">
        <f t="shared" si="43"/>
        <v>12</v>
      </c>
      <c r="E137" s="16">
        <v>11</v>
      </c>
      <c r="F137" s="16">
        <v>1</v>
      </c>
      <c r="G137" s="16">
        <v>10</v>
      </c>
      <c r="H137" s="16">
        <f>686+93</f>
        <v>779</v>
      </c>
      <c r="I137" s="16">
        <f>811+65</f>
        <v>876</v>
      </c>
      <c r="J137" s="11">
        <f t="shared" si="46"/>
        <v>70.81818181818181</v>
      </c>
      <c r="K137" s="11">
        <f t="shared" si="47"/>
        <v>79.63636363636364</v>
      </c>
      <c r="L137" s="4">
        <f t="shared" si="45"/>
        <v>-97</v>
      </c>
    </row>
    <row r="138" spans="1:12" ht="16.5">
      <c r="A138" s="16">
        <f t="shared" si="44"/>
        <v>137</v>
      </c>
      <c r="B138" s="5" t="s">
        <v>49</v>
      </c>
      <c r="C138" s="21" t="s">
        <v>127</v>
      </c>
      <c r="D138" s="16">
        <f t="shared" si="43"/>
        <v>12</v>
      </c>
      <c r="E138" s="16">
        <v>11</v>
      </c>
      <c r="F138" s="16">
        <v>1</v>
      </c>
      <c r="G138" s="16">
        <v>10</v>
      </c>
      <c r="H138" s="16">
        <f>753+71</f>
        <v>824</v>
      </c>
      <c r="I138" s="16">
        <f>884+85</f>
        <v>969</v>
      </c>
      <c r="J138" s="11">
        <f t="shared" si="46"/>
        <v>74.9090909090909</v>
      </c>
      <c r="K138" s="11">
        <f t="shared" si="47"/>
        <v>88.0909090909091</v>
      </c>
      <c r="L138" s="4">
        <f t="shared" si="45"/>
        <v>-145</v>
      </c>
    </row>
    <row r="139" spans="1:12" ht="16.5">
      <c r="A139" s="16">
        <f t="shared" si="44"/>
        <v>138</v>
      </c>
      <c r="B139" s="5" t="s">
        <v>10</v>
      </c>
      <c r="C139" s="21" t="s">
        <v>113</v>
      </c>
      <c r="D139" s="16">
        <f t="shared" si="43"/>
        <v>12</v>
      </c>
      <c r="E139" s="16">
        <v>11</v>
      </c>
      <c r="F139" s="16">
        <v>1</v>
      </c>
      <c r="G139" s="16">
        <v>10</v>
      </c>
      <c r="H139" s="16">
        <f>714+70</f>
        <v>784</v>
      </c>
      <c r="I139" s="16">
        <f>851+87</f>
        <v>938</v>
      </c>
      <c r="J139" s="11">
        <f t="shared" si="46"/>
        <v>71.27272727272727</v>
      </c>
      <c r="K139" s="11">
        <f t="shared" si="47"/>
        <v>85.27272727272727</v>
      </c>
      <c r="L139" s="4">
        <f t="shared" si="45"/>
        <v>-154</v>
      </c>
    </row>
    <row r="140" spans="1:12" ht="16.5">
      <c r="A140" s="16">
        <f t="shared" si="44"/>
        <v>139</v>
      </c>
      <c r="B140" s="5" t="s">
        <v>24</v>
      </c>
      <c r="C140" s="21" t="s">
        <v>91</v>
      </c>
      <c r="D140" s="16">
        <f t="shared" si="43"/>
        <v>12</v>
      </c>
      <c r="E140" s="16">
        <v>11</v>
      </c>
      <c r="F140" s="16">
        <v>1</v>
      </c>
      <c r="G140" s="16">
        <v>10</v>
      </c>
      <c r="H140" s="16">
        <f>670+69</f>
        <v>739</v>
      </c>
      <c r="I140" s="16">
        <f>824+75</f>
        <v>899</v>
      </c>
      <c r="J140" s="11">
        <f t="shared" si="46"/>
        <v>67.18181818181819</v>
      </c>
      <c r="K140" s="11">
        <f t="shared" si="47"/>
        <v>81.72727272727273</v>
      </c>
      <c r="L140" s="4">
        <f t="shared" si="45"/>
        <v>-160</v>
      </c>
    </row>
    <row r="141" spans="1:12" ht="16.5">
      <c r="A141" s="16">
        <f t="shared" si="44"/>
        <v>140</v>
      </c>
      <c r="B141" s="5" t="s">
        <v>44</v>
      </c>
      <c r="C141" s="21" t="s">
        <v>134</v>
      </c>
      <c r="D141" s="16">
        <f t="shared" si="43"/>
        <v>12</v>
      </c>
      <c r="E141" s="16">
        <v>11</v>
      </c>
      <c r="F141" s="16">
        <v>1</v>
      </c>
      <c r="G141" s="16">
        <v>10</v>
      </c>
      <c r="H141" s="16">
        <f>733+72</f>
        <v>805</v>
      </c>
      <c r="I141" s="16">
        <f>918+80</f>
        <v>998</v>
      </c>
      <c r="J141" s="11">
        <f t="shared" si="46"/>
        <v>73.18181818181819</v>
      </c>
      <c r="K141" s="11">
        <f t="shared" si="47"/>
        <v>90.72727272727273</v>
      </c>
      <c r="L141" s="4">
        <f t="shared" si="45"/>
        <v>-193</v>
      </c>
    </row>
    <row r="142" spans="1:12" ht="16.5">
      <c r="A142" s="16">
        <f t="shared" si="44"/>
        <v>141</v>
      </c>
      <c r="B142" s="5" t="s">
        <v>17</v>
      </c>
      <c r="C142" s="29" t="s">
        <v>107</v>
      </c>
      <c r="D142" s="26">
        <f t="shared" si="43"/>
        <v>12</v>
      </c>
      <c r="E142" s="26">
        <v>11</v>
      </c>
      <c r="F142" s="26">
        <v>1</v>
      </c>
      <c r="G142" s="26">
        <v>10</v>
      </c>
      <c r="H142" s="26">
        <f>654+50</f>
        <v>704</v>
      </c>
      <c r="I142" s="26">
        <f>833+72</f>
        <v>905</v>
      </c>
      <c r="J142" s="11">
        <f t="shared" si="46"/>
        <v>64</v>
      </c>
      <c r="K142" s="11">
        <f t="shared" si="47"/>
        <v>82.27272727272727</v>
      </c>
      <c r="L142" s="4">
        <f t="shared" si="45"/>
        <v>-201</v>
      </c>
    </row>
    <row r="143" spans="1:12" ht="16.5">
      <c r="A143" s="16">
        <f t="shared" si="44"/>
        <v>142</v>
      </c>
      <c r="B143" s="5" t="s">
        <v>50</v>
      </c>
      <c r="C143" s="21" t="s">
        <v>122</v>
      </c>
      <c r="D143" s="16">
        <f t="shared" si="43"/>
        <v>12</v>
      </c>
      <c r="E143" s="16">
        <v>11</v>
      </c>
      <c r="F143" s="16">
        <v>1</v>
      </c>
      <c r="G143" s="16">
        <v>10</v>
      </c>
      <c r="H143" s="16">
        <f>670+81</f>
        <v>751</v>
      </c>
      <c r="I143" s="16">
        <f>858+113</f>
        <v>971</v>
      </c>
      <c r="J143" s="11">
        <f t="shared" si="46"/>
        <v>68.27272727272727</v>
      </c>
      <c r="K143" s="11">
        <f t="shared" si="47"/>
        <v>88.27272727272727</v>
      </c>
      <c r="L143" s="4">
        <f t="shared" si="45"/>
        <v>-220</v>
      </c>
    </row>
    <row r="144" spans="1:12" ht="16.5">
      <c r="A144" s="16">
        <f t="shared" si="44"/>
        <v>143</v>
      </c>
      <c r="B144" s="5" t="s">
        <v>21</v>
      </c>
      <c r="C144" s="21" t="s">
        <v>101</v>
      </c>
      <c r="D144" s="16">
        <f t="shared" si="43"/>
        <v>12</v>
      </c>
      <c r="E144" s="16">
        <v>11</v>
      </c>
      <c r="F144" s="16">
        <v>1</v>
      </c>
      <c r="G144" s="16">
        <v>10</v>
      </c>
      <c r="H144" s="16">
        <f>720+72</f>
        <v>792</v>
      </c>
      <c r="I144" s="16">
        <f>944+89</f>
        <v>1033</v>
      </c>
      <c r="J144" s="11">
        <f>H144/E144</f>
        <v>72</v>
      </c>
      <c r="K144" s="11">
        <f>I144/E144</f>
        <v>93.9090909090909</v>
      </c>
      <c r="L144" s="4">
        <f>H144-I144</f>
        <v>-241</v>
      </c>
    </row>
    <row r="145" spans="1:12" ht="16.5">
      <c r="A145" s="16">
        <f t="shared" si="44"/>
        <v>144</v>
      </c>
      <c r="B145" s="5" t="s">
        <v>36</v>
      </c>
      <c r="C145" s="21" t="s">
        <v>163</v>
      </c>
      <c r="D145" s="16">
        <f t="shared" si="43"/>
        <v>11</v>
      </c>
      <c r="E145" s="16">
        <v>11</v>
      </c>
      <c r="F145" s="16">
        <v>0</v>
      </c>
      <c r="G145" s="16">
        <v>11</v>
      </c>
      <c r="H145" s="16">
        <f>570+65</f>
        <v>635</v>
      </c>
      <c r="I145" s="16">
        <f>878+93</f>
        <v>971</v>
      </c>
      <c r="J145" s="11">
        <f>H145/E145</f>
        <v>57.72727272727273</v>
      </c>
      <c r="K145" s="11">
        <f>I145/E145</f>
        <v>88.27272727272727</v>
      </c>
      <c r="L145" s="4">
        <f>H145-I145</f>
        <v>-336</v>
      </c>
    </row>
    <row r="146" spans="2:12" ht="15.75">
      <c r="B146" s="5"/>
      <c r="D146" s="16"/>
      <c r="E146" s="3"/>
      <c r="F146" s="16"/>
      <c r="G146" s="16"/>
      <c r="H146" s="3"/>
      <c r="I146" s="3"/>
      <c r="J146" s="11"/>
      <c r="K146" s="11"/>
      <c r="L146" s="4"/>
    </row>
    <row r="147" spans="2:12" ht="15.75">
      <c r="B147" s="5"/>
      <c r="D147" s="16"/>
      <c r="E147" s="3"/>
      <c r="F147" s="16"/>
      <c r="G147" s="16"/>
      <c r="H147" s="3"/>
      <c r="I147" s="3"/>
      <c r="J147" s="11"/>
      <c r="K147" s="11"/>
      <c r="L147" s="4"/>
    </row>
    <row r="148" spans="2:12" ht="15.75">
      <c r="B148" s="5"/>
      <c r="D148" s="16"/>
      <c r="E148" s="3"/>
      <c r="F148" s="16"/>
      <c r="G148" s="16"/>
      <c r="H148" s="3"/>
      <c r="I148" s="3"/>
      <c r="J148" s="11"/>
      <c r="K148" s="11"/>
      <c r="L148" s="4"/>
    </row>
    <row r="149" spans="2:12" ht="15.75">
      <c r="B149" s="5"/>
      <c r="D149" s="16"/>
      <c r="E149" s="3"/>
      <c r="F149" s="16"/>
      <c r="G149" s="16"/>
      <c r="H149" s="3"/>
      <c r="I149" s="3"/>
      <c r="J149" s="11"/>
      <c r="K149" s="11"/>
      <c r="L149" s="4"/>
    </row>
    <row r="150" spans="2:12" ht="15.75">
      <c r="B150" s="5"/>
      <c r="D150" s="16"/>
      <c r="E150" s="3"/>
      <c r="F150" s="16"/>
      <c r="G150" s="16"/>
      <c r="H150" s="3"/>
      <c r="I150" s="3"/>
      <c r="J150" s="11"/>
      <c r="K150" s="11"/>
      <c r="L150" s="4"/>
    </row>
    <row r="151" spans="2:12" ht="15.75">
      <c r="B151" s="5"/>
      <c r="D151" s="16"/>
      <c r="E151" s="3"/>
      <c r="F151" s="16"/>
      <c r="G151" s="16"/>
      <c r="H151" s="3"/>
      <c r="I151" s="3"/>
      <c r="J151" s="11"/>
      <c r="K151" s="11"/>
      <c r="L151" s="4"/>
    </row>
    <row r="152" spans="2:12" ht="15.75">
      <c r="B152" s="5"/>
      <c r="D152" s="16"/>
      <c r="E152" s="3"/>
      <c r="F152" s="16"/>
      <c r="G152" s="16"/>
      <c r="H152" s="3"/>
      <c r="I152" s="3"/>
      <c r="J152" s="11"/>
      <c r="K152" s="11"/>
      <c r="L152" s="4"/>
    </row>
    <row r="153" spans="2:12" ht="15.75">
      <c r="B153" s="5"/>
      <c r="D153" s="16"/>
      <c r="E153" s="3"/>
      <c r="F153" s="16"/>
      <c r="G153" s="16"/>
      <c r="H153" s="3"/>
      <c r="I153" s="3"/>
      <c r="J153" s="11"/>
      <c r="K153" s="11"/>
      <c r="L153" s="4"/>
    </row>
    <row r="154" spans="2:12" ht="15.75">
      <c r="B154" s="5"/>
      <c r="D154" s="16"/>
      <c r="E154" s="3"/>
      <c r="F154" s="16"/>
      <c r="G154" s="16"/>
      <c r="H154" s="3"/>
      <c r="I154" s="3"/>
      <c r="J154" s="11"/>
      <c r="K154" s="11"/>
      <c r="L154" s="4"/>
    </row>
    <row r="155" spans="2:12" ht="15.75">
      <c r="B155" s="5"/>
      <c r="D155" s="16"/>
      <c r="E155" s="3"/>
      <c r="F155" s="16"/>
      <c r="G155" s="16"/>
      <c r="H155" s="3"/>
      <c r="I155" s="3"/>
      <c r="J155" s="11"/>
      <c r="K155" s="11"/>
      <c r="L155" s="4"/>
    </row>
    <row r="156" spans="2:12" ht="15.75">
      <c r="B156" s="5"/>
      <c r="D156" s="16"/>
      <c r="E156" s="3"/>
      <c r="F156" s="16"/>
      <c r="G156" s="16"/>
      <c r="H156" s="3"/>
      <c r="I156" s="3"/>
      <c r="J156" s="11"/>
      <c r="K156" s="11"/>
      <c r="L156" s="4"/>
    </row>
  </sheetData>
  <printOptions gridLines="1" horizontalCentered="1" verticalCentered="1"/>
  <pageMargins left="0.7874015748031497" right="0.7874015748031497" top="0.4330708661417323" bottom="0.8661417322834646" header="0.2362204724409449" footer="0.6299212598425197"/>
  <pageSetup horizontalDpi="300" verticalDpi="300" orientation="portrait" paperSize="9" scale="9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"/>
    </sheetView>
  </sheetViews>
  <sheetFormatPr defaultColWidth="11.00390625" defaultRowHeight="15.75"/>
  <cols>
    <col min="1" max="1" width="5.25390625" style="5" customWidth="1"/>
    <col min="2" max="2" width="17.25390625" style="0" customWidth="1"/>
    <col min="3" max="3" width="5.75390625" style="0" customWidth="1"/>
    <col min="4" max="4" width="7.00390625" style="0" customWidth="1"/>
    <col min="5" max="5" width="7.75390625" style="0" customWidth="1"/>
    <col min="6" max="6" width="4.25390625" style="0" customWidth="1"/>
    <col min="7" max="7" width="7.00390625" style="0" customWidth="1"/>
    <col min="8" max="8" width="6.875" style="0" customWidth="1"/>
    <col min="9" max="9" width="8.625" style="0" customWidth="1"/>
    <col min="10" max="10" width="9.25390625" style="0" customWidth="1"/>
    <col min="11" max="11" width="4.75390625" style="0" customWidth="1"/>
    <col min="12" max="12" width="5.375" style="0" customWidth="1"/>
  </cols>
  <sheetData>
    <row r="1" spans="1:12" ht="29.25" customHeight="1">
      <c r="A1" s="8" t="s">
        <v>0</v>
      </c>
      <c r="B1" s="7" t="s">
        <v>168</v>
      </c>
      <c r="C1" s="10" t="s">
        <v>1</v>
      </c>
      <c r="D1" s="10" t="s">
        <v>54</v>
      </c>
      <c r="E1" s="10" t="s">
        <v>2</v>
      </c>
      <c r="F1" s="10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6" t="s">
        <v>8</v>
      </c>
      <c r="L1" s="6"/>
    </row>
    <row r="2" spans="1:11" ht="15.75">
      <c r="A2" s="5" t="s">
        <v>50</v>
      </c>
      <c r="B2" s="17" t="s">
        <v>114</v>
      </c>
      <c r="C2" s="16">
        <v>20</v>
      </c>
      <c r="D2" s="16">
        <v>11</v>
      </c>
      <c r="E2" s="16">
        <v>9</v>
      </c>
      <c r="F2" s="16">
        <v>2</v>
      </c>
      <c r="G2" s="16">
        <v>929</v>
      </c>
      <c r="H2" s="16">
        <v>791</v>
      </c>
      <c r="I2" s="11">
        <v>84.45454545454545</v>
      </c>
      <c r="J2" s="11">
        <v>71.9090909090909</v>
      </c>
      <c r="K2" s="4">
        <v>138</v>
      </c>
    </row>
    <row r="3" spans="1:11" ht="15.75">
      <c r="A3" s="5" t="s">
        <v>17</v>
      </c>
      <c r="B3" s="25" t="s">
        <v>18</v>
      </c>
      <c r="C3" s="26">
        <v>17</v>
      </c>
      <c r="D3" s="26">
        <v>11</v>
      </c>
      <c r="E3" s="26">
        <v>6</v>
      </c>
      <c r="F3" s="26">
        <v>5</v>
      </c>
      <c r="G3" s="26">
        <v>845</v>
      </c>
      <c r="H3" s="26">
        <v>820</v>
      </c>
      <c r="I3" s="11">
        <v>76.81818181818181</v>
      </c>
      <c r="J3" s="11">
        <v>74.54545454545455</v>
      </c>
      <c r="K3" s="4">
        <v>25</v>
      </c>
    </row>
    <row r="4" spans="1:12" ht="15.75">
      <c r="A4" s="5" t="s">
        <v>49</v>
      </c>
      <c r="B4" s="17" t="s">
        <v>124</v>
      </c>
      <c r="C4" s="16">
        <v>17</v>
      </c>
      <c r="D4" s="16">
        <v>11</v>
      </c>
      <c r="E4" s="16">
        <v>6</v>
      </c>
      <c r="F4" s="16">
        <v>5</v>
      </c>
      <c r="G4" s="16">
        <v>848</v>
      </c>
      <c r="H4" s="16">
        <v>870</v>
      </c>
      <c r="I4" s="11">
        <v>77.0909090909091</v>
      </c>
      <c r="J4" s="11">
        <v>79.0909090909091</v>
      </c>
      <c r="K4" s="4">
        <v>-22</v>
      </c>
      <c r="L4" s="1"/>
    </row>
    <row r="5" spans="1:11" ht="15.75">
      <c r="A5" s="5" t="s">
        <v>17</v>
      </c>
      <c r="B5" s="25" t="s">
        <v>103</v>
      </c>
      <c r="C5" s="26">
        <v>17</v>
      </c>
      <c r="D5" s="26">
        <v>11</v>
      </c>
      <c r="E5" s="26">
        <v>6</v>
      </c>
      <c r="F5" s="26">
        <v>5</v>
      </c>
      <c r="G5" s="26">
        <v>858</v>
      </c>
      <c r="H5" s="26">
        <v>883</v>
      </c>
      <c r="I5" s="11">
        <v>78</v>
      </c>
      <c r="J5" s="11">
        <v>80.27272727272727</v>
      </c>
      <c r="K5" s="4">
        <v>-25</v>
      </c>
    </row>
    <row r="6" spans="1:11" ht="15.75">
      <c r="A6" s="5" t="s">
        <v>50</v>
      </c>
      <c r="B6" s="17" t="s">
        <v>116</v>
      </c>
      <c r="C6" s="16">
        <v>16</v>
      </c>
      <c r="D6" s="16">
        <v>11</v>
      </c>
      <c r="E6" s="16">
        <v>5</v>
      </c>
      <c r="F6" s="16">
        <v>6</v>
      </c>
      <c r="G6" s="16">
        <v>820</v>
      </c>
      <c r="H6" s="16">
        <v>798</v>
      </c>
      <c r="I6" s="11">
        <v>74.54545454545455</v>
      </c>
      <c r="J6" s="11">
        <v>72.54545454545455</v>
      </c>
      <c r="K6" s="4">
        <v>22</v>
      </c>
    </row>
    <row r="7" spans="1:11" ht="15.75">
      <c r="A7" s="5" t="s">
        <v>17</v>
      </c>
      <c r="B7" s="25" t="s">
        <v>106</v>
      </c>
      <c r="C7" s="26">
        <v>16</v>
      </c>
      <c r="D7" s="26">
        <v>11</v>
      </c>
      <c r="E7" s="26">
        <v>5</v>
      </c>
      <c r="F7" s="26">
        <v>6</v>
      </c>
      <c r="G7" s="26">
        <v>867</v>
      </c>
      <c r="H7" s="26">
        <v>920</v>
      </c>
      <c r="I7" s="11">
        <v>78.81818181818181</v>
      </c>
      <c r="J7" s="11">
        <v>83.63636363636364</v>
      </c>
      <c r="K7" s="4">
        <v>-53</v>
      </c>
    </row>
    <row r="8" spans="1:11" ht="15.75">
      <c r="A8" s="5" t="s">
        <v>17</v>
      </c>
      <c r="B8" s="25" t="s">
        <v>104</v>
      </c>
      <c r="C8" s="26">
        <v>16</v>
      </c>
      <c r="D8" s="26">
        <v>11</v>
      </c>
      <c r="E8" s="26">
        <v>5</v>
      </c>
      <c r="F8" s="26">
        <v>6</v>
      </c>
      <c r="G8" s="26">
        <v>910</v>
      </c>
      <c r="H8" s="26">
        <v>968</v>
      </c>
      <c r="I8" s="11">
        <v>82.72727272727273</v>
      </c>
      <c r="J8" s="11">
        <v>88</v>
      </c>
      <c r="K8" s="4">
        <v>-58</v>
      </c>
    </row>
    <row r="9" spans="1:11" ht="15.75">
      <c r="A9" s="5" t="s">
        <v>49</v>
      </c>
      <c r="B9" s="17" t="s">
        <v>126</v>
      </c>
      <c r="C9" s="16">
        <v>15</v>
      </c>
      <c r="D9" s="16">
        <v>11</v>
      </c>
      <c r="E9" s="16">
        <v>4</v>
      </c>
      <c r="F9" s="16">
        <v>7</v>
      </c>
      <c r="G9" s="16">
        <v>885</v>
      </c>
      <c r="H9" s="16">
        <v>943</v>
      </c>
      <c r="I9" s="11">
        <v>80.45454545454545</v>
      </c>
      <c r="J9" s="11">
        <v>85.72727272727273</v>
      </c>
      <c r="K9" s="4">
        <v>-58</v>
      </c>
    </row>
    <row r="10" spans="1:11" ht="16.5">
      <c r="A10" s="5" t="s">
        <v>17</v>
      </c>
      <c r="B10" s="28" t="s">
        <v>70</v>
      </c>
      <c r="C10" s="26">
        <v>13</v>
      </c>
      <c r="D10" s="26">
        <v>11</v>
      </c>
      <c r="E10" s="26">
        <v>2</v>
      </c>
      <c r="F10" s="26">
        <v>9</v>
      </c>
      <c r="G10" s="26">
        <v>794</v>
      </c>
      <c r="H10" s="26">
        <v>876</v>
      </c>
      <c r="I10" s="11">
        <v>72.18181818181819</v>
      </c>
      <c r="J10" s="11">
        <v>79.63636363636364</v>
      </c>
      <c r="K10" s="4">
        <v>-82</v>
      </c>
    </row>
    <row r="11" spans="1:11" ht="16.5">
      <c r="A11" s="5" t="s">
        <v>50</v>
      </c>
      <c r="B11" s="20" t="s">
        <v>121</v>
      </c>
      <c r="C11" s="16">
        <f>D11+E11</f>
        <v>13</v>
      </c>
      <c r="D11" s="16">
        <v>11</v>
      </c>
      <c r="E11" s="16">
        <v>2</v>
      </c>
      <c r="F11" s="16">
        <v>9</v>
      </c>
      <c r="G11" s="16">
        <f>648+78</f>
        <v>726</v>
      </c>
      <c r="H11" s="16">
        <f>775+116</f>
        <v>891</v>
      </c>
      <c r="I11" s="11">
        <f>G11/D11</f>
        <v>66</v>
      </c>
      <c r="J11" s="11">
        <f>H11/D11</f>
        <v>81</v>
      </c>
      <c r="K11" s="4">
        <f>G11-H11</f>
        <v>-165</v>
      </c>
    </row>
    <row r="12" spans="1:11" ht="16.5">
      <c r="A12" s="5" t="s">
        <v>49</v>
      </c>
      <c r="B12" s="31" t="s">
        <v>51</v>
      </c>
      <c r="C12" s="16">
        <v>13</v>
      </c>
      <c r="D12" s="16">
        <v>11</v>
      </c>
      <c r="E12" s="16">
        <v>2</v>
      </c>
      <c r="F12" s="16">
        <v>9</v>
      </c>
      <c r="G12" s="16">
        <v>793</v>
      </c>
      <c r="H12" s="16">
        <v>962</v>
      </c>
      <c r="I12" s="11">
        <v>72.0909090909091</v>
      </c>
      <c r="J12" s="11">
        <v>87.45454545454545</v>
      </c>
      <c r="K12" s="4">
        <v>-169</v>
      </c>
    </row>
    <row r="13" spans="3:11" ht="15.75">
      <c r="C13" s="3"/>
      <c r="D13" s="3"/>
      <c r="E13" s="3"/>
      <c r="F13" s="3"/>
      <c r="G13" s="3"/>
      <c r="H13" s="3"/>
      <c r="I13" s="3"/>
      <c r="J13" s="3"/>
      <c r="K13" s="3"/>
    </row>
    <row r="14" spans="1:5" ht="30">
      <c r="A14" s="8" t="s">
        <v>0</v>
      </c>
      <c r="B14" s="7" t="s">
        <v>168</v>
      </c>
      <c r="C14" s="10" t="s">
        <v>54</v>
      </c>
      <c r="D14" s="9" t="s">
        <v>4</v>
      </c>
      <c r="E14" s="23" t="s">
        <v>6</v>
      </c>
    </row>
    <row r="15" spans="1:5" ht="15.75">
      <c r="A15" s="5" t="s">
        <v>50</v>
      </c>
      <c r="B15" s="17" t="s">
        <v>114</v>
      </c>
      <c r="C15" s="16">
        <v>11</v>
      </c>
      <c r="D15" s="16">
        <v>929</v>
      </c>
      <c r="E15" s="24">
        <v>84.45454545454545</v>
      </c>
    </row>
    <row r="16" spans="1:5" ht="15.75">
      <c r="A16" s="5" t="s">
        <v>17</v>
      </c>
      <c r="B16" s="25" t="s">
        <v>104</v>
      </c>
      <c r="C16" s="26">
        <v>11</v>
      </c>
      <c r="D16" s="26">
        <v>910</v>
      </c>
      <c r="E16" s="24">
        <v>82.72727272727273</v>
      </c>
    </row>
    <row r="17" spans="1:5" ht="15.75">
      <c r="A17" s="5" t="s">
        <v>49</v>
      </c>
      <c r="B17" s="17" t="s">
        <v>126</v>
      </c>
      <c r="C17" s="16">
        <v>11</v>
      </c>
      <c r="D17" s="16">
        <v>885</v>
      </c>
      <c r="E17" s="24">
        <v>80.45454545454545</v>
      </c>
    </row>
    <row r="18" spans="1:5" ht="15.75">
      <c r="A18" s="5" t="s">
        <v>17</v>
      </c>
      <c r="B18" s="25" t="s">
        <v>106</v>
      </c>
      <c r="C18" s="26">
        <v>11</v>
      </c>
      <c r="D18" s="26">
        <v>867</v>
      </c>
      <c r="E18" s="24">
        <v>78.81818181818181</v>
      </c>
    </row>
    <row r="19" spans="1:5" ht="15.75">
      <c r="A19" s="5" t="s">
        <v>17</v>
      </c>
      <c r="B19" s="25" t="s">
        <v>103</v>
      </c>
      <c r="C19" s="26">
        <v>11</v>
      </c>
      <c r="D19" s="26">
        <v>858</v>
      </c>
      <c r="E19" s="24">
        <v>78</v>
      </c>
    </row>
    <row r="20" spans="1:5" ht="15.75">
      <c r="A20" s="5" t="s">
        <v>49</v>
      </c>
      <c r="B20" s="17" t="s">
        <v>124</v>
      </c>
      <c r="C20" s="16">
        <v>11</v>
      </c>
      <c r="D20" s="16">
        <v>848</v>
      </c>
      <c r="E20" s="24">
        <v>77.0909090909091</v>
      </c>
    </row>
    <row r="21" spans="1:5" ht="15.75">
      <c r="A21" s="5" t="s">
        <v>17</v>
      </c>
      <c r="B21" s="25" t="s">
        <v>18</v>
      </c>
      <c r="C21" s="26">
        <v>11</v>
      </c>
      <c r="D21" s="26">
        <v>845</v>
      </c>
      <c r="E21" s="24">
        <v>76.81818181818181</v>
      </c>
    </row>
    <row r="22" spans="1:5" ht="15.75">
      <c r="A22" s="5" t="s">
        <v>50</v>
      </c>
      <c r="B22" s="17" t="s">
        <v>116</v>
      </c>
      <c r="C22" s="16">
        <v>11</v>
      </c>
      <c r="D22" s="16">
        <v>820</v>
      </c>
      <c r="E22" s="24">
        <v>74.54545454545455</v>
      </c>
    </row>
    <row r="23" spans="1:5" ht="16.5">
      <c r="A23" s="5" t="s">
        <v>17</v>
      </c>
      <c r="B23" s="28" t="s">
        <v>70</v>
      </c>
      <c r="C23" s="26">
        <v>11</v>
      </c>
      <c r="D23" s="26">
        <v>794</v>
      </c>
      <c r="E23" s="24">
        <v>72.18181818181819</v>
      </c>
    </row>
    <row r="24" spans="1:5" ht="16.5">
      <c r="A24" s="5" t="s">
        <v>49</v>
      </c>
      <c r="B24" s="31" t="s">
        <v>51</v>
      </c>
      <c r="C24" s="16">
        <v>11</v>
      </c>
      <c r="D24" s="16">
        <v>793</v>
      </c>
      <c r="E24" s="24">
        <v>72.0909090909091</v>
      </c>
    </row>
    <row r="25" spans="1:5" ht="16.5">
      <c r="A25" s="5" t="s">
        <v>50</v>
      </c>
      <c r="B25" s="20" t="s">
        <v>121</v>
      </c>
      <c r="C25" s="16">
        <v>11</v>
      </c>
      <c r="D25" s="16">
        <v>726</v>
      </c>
      <c r="E25" s="24">
        <v>66</v>
      </c>
    </row>
    <row r="26" spans="7:8" ht="15.75">
      <c r="G26" s="3"/>
      <c r="H26" s="3"/>
    </row>
    <row r="27" spans="1:6" ht="30">
      <c r="A27" s="8" t="s">
        <v>0</v>
      </c>
      <c r="B27" s="7" t="s">
        <v>168</v>
      </c>
      <c r="C27" s="10" t="s">
        <v>54</v>
      </c>
      <c r="D27" s="9" t="s">
        <v>5</v>
      </c>
      <c r="E27" s="23" t="s">
        <v>7</v>
      </c>
      <c r="F27" s="6"/>
    </row>
    <row r="28" spans="1:6" ht="15.75">
      <c r="A28" s="5" t="s">
        <v>50</v>
      </c>
      <c r="B28" s="17" t="s">
        <v>114</v>
      </c>
      <c r="C28" s="16">
        <v>11</v>
      </c>
      <c r="D28" s="16">
        <v>791</v>
      </c>
      <c r="E28" s="24">
        <v>71.9090909090909</v>
      </c>
      <c r="F28" s="4"/>
    </row>
    <row r="29" spans="1:6" ht="15.75">
      <c r="A29" s="5" t="s">
        <v>50</v>
      </c>
      <c r="B29" s="17" t="s">
        <v>116</v>
      </c>
      <c r="C29" s="16">
        <v>11</v>
      </c>
      <c r="D29" s="16">
        <v>798</v>
      </c>
      <c r="E29" s="24">
        <v>72.54545454545455</v>
      </c>
      <c r="F29" s="4"/>
    </row>
    <row r="30" spans="1:6" ht="15.75">
      <c r="A30" s="5" t="s">
        <v>17</v>
      </c>
      <c r="B30" s="25" t="s">
        <v>18</v>
      </c>
      <c r="C30" s="26">
        <v>11</v>
      </c>
      <c r="D30" s="26">
        <v>820</v>
      </c>
      <c r="E30" s="24">
        <v>74.54545454545455</v>
      </c>
      <c r="F30" s="4"/>
    </row>
    <row r="31" spans="1:6" ht="15.75">
      <c r="A31" s="5" t="s">
        <v>49</v>
      </c>
      <c r="B31" s="17" t="s">
        <v>124</v>
      </c>
      <c r="C31" s="16">
        <v>11</v>
      </c>
      <c r="D31" s="16">
        <v>870</v>
      </c>
      <c r="E31" s="24">
        <v>79.0909090909091</v>
      </c>
      <c r="F31" s="4"/>
    </row>
    <row r="32" spans="1:6" ht="16.5">
      <c r="A32" s="5" t="s">
        <v>17</v>
      </c>
      <c r="B32" s="28" t="s">
        <v>70</v>
      </c>
      <c r="C32" s="26">
        <v>11</v>
      </c>
      <c r="D32" s="26">
        <v>876</v>
      </c>
      <c r="E32" s="24">
        <v>79.63636363636364</v>
      </c>
      <c r="F32" s="4"/>
    </row>
    <row r="33" spans="1:6" ht="15.75">
      <c r="A33" s="5" t="s">
        <v>17</v>
      </c>
      <c r="B33" s="25" t="s">
        <v>103</v>
      </c>
      <c r="C33" s="26">
        <v>11</v>
      </c>
      <c r="D33" s="26">
        <v>883</v>
      </c>
      <c r="E33" s="24">
        <v>80.27272727272727</v>
      </c>
      <c r="F33" s="4"/>
    </row>
    <row r="34" spans="1:6" ht="16.5">
      <c r="A34" s="5" t="s">
        <v>50</v>
      </c>
      <c r="B34" s="20" t="s">
        <v>121</v>
      </c>
      <c r="C34" s="16">
        <v>11</v>
      </c>
      <c r="D34" s="16">
        <v>891</v>
      </c>
      <c r="E34" s="24">
        <v>81</v>
      </c>
      <c r="F34" s="4"/>
    </row>
    <row r="35" spans="1:6" ht="15.75">
      <c r="A35" s="5" t="s">
        <v>17</v>
      </c>
      <c r="B35" s="25" t="s">
        <v>106</v>
      </c>
      <c r="C35" s="26">
        <v>11</v>
      </c>
      <c r="D35" s="26">
        <v>920</v>
      </c>
      <c r="E35" s="24">
        <v>83.63636363636364</v>
      </c>
      <c r="F35" s="4"/>
    </row>
    <row r="36" spans="1:6" ht="15.75">
      <c r="A36" s="5" t="s">
        <v>49</v>
      </c>
      <c r="B36" s="17" t="s">
        <v>126</v>
      </c>
      <c r="C36" s="16">
        <v>11</v>
      </c>
      <c r="D36" s="16">
        <v>943</v>
      </c>
      <c r="E36" s="24">
        <v>85.72727272727273</v>
      </c>
      <c r="F36" s="4"/>
    </row>
    <row r="37" spans="1:6" ht="16.5">
      <c r="A37" s="5" t="s">
        <v>49</v>
      </c>
      <c r="B37" s="31" t="s">
        <v>51</v>
      </c>
      <c r="C37" s="16">
        <v>11</v>
      </c>
      <c r="D37" s="16">
        <v>962</v>
      </c>
      <c r="E37" s="24">
        <v>87.45454545454545</v>
      </c>
      <c r="F37" s="4"/>
    </row>
    <row r="38" spans="1:6" ht="15.75">
      <c r="A38" s="5" t="s">
        <v>17</v>
      </c>
      <c r="B38" s="25" t="s">
        <v>104</v>
      </c>
      <c r="C38" s="26">
        <v>11</v>
      </c>
      <c r="D38" s="26">
        <v>968</v>
      </c>
      <c r="E38" s="24">
        <v>88</v>
      </c>
      <c r="F38" s="4"/>
    </row>
  </sheetData>
  <printOptions gridLines="1" horizontalCentered="1"/>
  <pageMargins left="0.7874015748031497" right="0.7874015748031497" top="0.44" bottom="0.65" header="0.07874015748031496" footer="0.63"/>
  <pageSetup horizontalDpi="300" verticalDpi="300" orientation="portrait" paperSize="9" scale="96" r:id="rId1"/>
  <headerFooter alignWithMargins="0">
    <oddHeader>&amp;C&amp;A, fait après la journée n°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2001-01-24T13:24:24Z</cp:lastPrinted>
  <dcterms:created xsi:type="dcterms:W3CDTF">2000-01-24T16:18:03Z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