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50" activeTab="0"/>
  </bookViews>
  <sheets>
    <sheet name="Ts classements" sheetId="1" r:id="rId1"/>
    <sheet name="Classement attaque" sheetId="2" r:id="rId2"/>
    <sheet name="Classement défense" sheetId="3" r:id="rId3"/>
    <sheet name="Classement écart" sheetId="4" r:id="rId4"/>
    <sheet name="Classement scratch" sheetId="5" r:id="rId5"/>
    <sheet name="Poule du Lyonnais" sheetId="6" r:id="rId6"/>
  </sheets>
  <definedNames/>
  <calcPr fullCalcOnLoad="1"/>
</workbook>
</file>

<file path=xl/sharedStrings.xml><?xml version="1.0" encoding="utf-8"?>
<sst xmlns="http://schemas.openxmlformats.org/spreadsheetml/2006/main" count="1550" uniqueCount="168">
  <si>
    <t>Poule</t>
  </si>
  <si>
    <t>Points</t>
  </si>
  <si>
    <t>Vict.</t>
  </si>
  <si>
    <t>Déf.</t>
  </si>
  <si>
    <t>Attaque</t>
  </si>
  <si>
    <t>Défense</t>
  </si>
  <si>
    <t>Moyenne Attaque</t>
  </si>
  <si>
    <t>Moyenne défense</t>
  </si>
  <si>
    <t>Goal</t>
  </si>
  <si>
    <t>A</t>
  </si>
  <si>
    <t>Le Pontet</t>
  </si>
  <si>
    <t>Frontignan</t>
  </si>
  <si>
    <t>Avignon</t>
  </si>
  <si>
    <t>Aubenas</t>
  </si>
  <si>
    <t>Fréjus</t>
  </si>
  <si>
    <t>B</t>
  </si>
  <si>
    <t>Montbrison</t>
  </si>
  <si>
    <t>Martigues</t>
  </si>
  <si>
    <t>La Londe</t>
  </si>
  <si>
    <t>C</t>
  </si>
  <si>
    <t>Horsarrieu</t>
  </si>
  <si>
    <t>St-Médard</t>
  </si>
  <si>
    <t>D</t>
  </si>
  <si>
    <t>Colayrac</t>
  </si>
  <si>
    <t>Tresses</t>
  </si>
  <si>
    <t>Serres Gaston</t>
  </si>
  <si>
    <t>E</t>
  </si>
  <si>
    <t>Touraine</t>
  </si>
  <si>
    <t>Chatellerault</t>
  </si>
  <si>
    <t>St-Herblain</t>
  </si>
  <si>
    <t>F</t>
  </si>
  <si>
    <t>Challandais</t>
  </si>
  <si>
    <t>Chambretaud</t>
  </si>
  <si>
    <t>St-Sébastien</t>
  </si>
  <si>
    <t>G</t>
  </si>
  <si>
    <t>Fresnes</t>
  </si>
  <si>
    <t>H</t>
  </si>
  <si>
    <t>Paris UC</t>
  </si>
  <si>
    <t>I</t>
  </si>
  <si>
    <t>Meaux</t>
  </si>
  <si>
    <t>Soissons</t>
  </si>
  <si>
    <t>Coulommiers</t>
  </si>
  <si>
    <t>J</t>
  </si>
  <si>
    <t>Joeuf Homecourt</t>
  </si>
  <si>
    <t>Mirecourt</t>
  </si>
  <si>
    <t>Rosheim</t>
  </si>
  <si>
    <t>St-Dizier</t>
  </si>
  <si>
    <t>K</t>
  </si>
  <si>
    <t>L</t>
  </si>
  <si>
    <t>CLAR</t>
  </si>
  <si>
    <t>Chateaudun</t>
  </si>
  <si>
    <t>N°</t>
  </si>
  <si>
    <t>Joués</t>
  </si>
  <si>
    <t>Salon</t>
  </si>
  <si>
    <t>Aix-les-Bains</t>
  </si>
  <si>
    <t>Saulce</t>
  </si>
  <si>
    <t>Mérignac</t>
  </si>
  <si>
    <t>Langon Sud</t>
  </si>
  <si>
    <t>St-Brieuc</t>
  </si>
  <si>
    <t>Avranches</t>
  </si>
  <si>
    <t>Montfort</t>
  </si>
  <si>
    <t>Basse-Indre</t>
  </si>
  <si>
    <t>La Mélantoise</t>
  </si>
  <si>
    <t>Maubeuge</t>
  </si>
  <si>
    <t>Sarcelles</t>
  </si>
  <si>
    <t>Lognes Marne</t>
  </si>
  <si>
    <t>Pfastatt</t>
  </si>
  <si>
    <t>Curgy</t>
  </si>
  <si>
    <t>Caluire</t>
  </si>
  <si>
    <t>Evre BC</t>
  </si>
  <si>
    <t>Saint-Malo</t>
  </si>
  <si>
    <t>Guipavas</t>
  </si>
  <si>
    <t>St-Laurent-P.</t>
  </si>
  <si>
    <t>Luçon BC</t>
  </si>
  <si>
    <t>Niort BC</t>
  </si>
  <si>
    <t>Mouchamps</t>
  </si>
  <si>
    <t>Tulle Corrèze</t>
  </si>
  <si>
    <t>Cognac BB</t>
  </si>
  <si>
    <t>Sort Chalosse</t>
  </si>
  <si>
    <t>La Pennoise</t>
  </si>
  <si>
    <t>Buzequaise</t>
  </si>
  <si>
    <t>Stade Poitevin</t>
  </si>
  <si>
    <t>Castelnau BC</t>
  </si>
  <si>
    <t>Agen BC</t>
  </si>
  <si>
    <t>Castelnau-Lez</t>
  </si>
  <si>
    <t>Stade Montois</t>
  </si>
  <si>
    <t>Pau Nord-Est</t>
  </si>
  <si>
    <t>Castera-Cezan</t>
  </si>
  <si>
    <t>Toulouges II</t>
  </si>
  <si>
    <t>Cocumont</t>
  </si>
  <si>
    <t>Aix-Provence</t>
  </si>
  <si>
    <t>Grigny-Givors</t>
  </si>
  <si>
    <t>St-Martin-Hères</t>
  </si>
  <si>
    <t>Oullins Ste-Foy</t>
  </si>
  <si>
    <t>Montmélian</t>
  </si>
  <si>
    <t>Annonay</t>
  </si>
  <si>
    <t>Cagnes</t>
  </si>
  <si>
    <t>Vitrolles</t>
  </si>
  <si>
    <t>Ste-Maxime</t>
  </si>
  <si>
    <t>Lagnieu</t>
  </si>
  <si>
    <t>Lyon CRO</t>
  </si>
  <si>
    <t>Issoire</t>
  </si>
  <si>
    <t>Andéolaise</t>
  </si>
  <si>
    <t>Prissé II</t>
  </si>
  <si>
    <t>Poligny</t>
  </si>
  <si>
    <t>Beaumarchais</t>
  </si>
  <si>
    <t>Colmar</t>
  </si>
  <si>
    <t>Quincié-Beaujolais</t>
  </si>
  <si>
    <t>Montmorot</t>
  </si>
  <si>
    <t>Strasbourg IG II</t>
  </si>
  <si>
    <t>Neuville-Ferrain</t>
  </si>
  <si>
    <t>Sélestat</t>
  </si>
  <si>
    <t>Vandoeuvre</t>
  </si>
  <si>
    <t>Mons-en-Baroeul</t>
  </si>
  <si>
    <t>Marly-le-Roi</t>
  </si>
  <si>
    <t>Neuville-Dieppe</t>
  </si>
  <si>
    <t>Cergy-Osny-Pont.</t>
  </si>
  <si>
    <t>Tremblay</t>
  </si>
  <si>
    <t>Blendecques St-O.</t>
  </si>
  <si>
    <t>Grande-Synthe</t>
  </si>
  <si>
    <t>Alsace Bagnolet</t>
  </si>
  <si>
    <t>59-62 Basket</t>
  </si>
  <si>
    <t>Charenton</t>
  </si>
  <si>
    <t>Les Aubrais</t>
  </si>
  <si>
    <t>Ris-Orangis</t>
  </si>
  <si>
    <t>Lons-le-S.</t>
  </si>
  <si>
    <t>St-Dié</t>
  </si>
  <si>
    <t>Marseille SMUC</t>
  </si>
  <si>
    <t>Bastia EF</t>
  </si>
  <si>
    <t>Les Arcs AS</t>
  </si>
  <si>
    <t>Roanne AS</t>
  </si>
  <si>
    <t>Cugnaux JS</t>
  </si>
  <si>
    <t>Colomiers US</t>
  </si>
  <si>
    <t>Ossunois BC</t>
  </si>
  <si>
    <t>Troyes BS</t>
  </si>
  <si>
    <t>Montferrand AS</t>
  </si>
  <si>
    <t>Dijon JDA II</t>
  </si>
  <si>
    <t>Cusset SCA</t>
  </si>
  <si>
    <t>Orchies BC</t>
  </si>
  <si>
    <t>Tourcoing SM</t>
  </si>
  <si>
    <t>Strasbourg ASE</t>
  </si>
  <si>
    <t>Gauchy</t>
  </si>
  <si>
    <t>Nancy ASPTT</t>
  </si>
  <si>
    <t>Longueau</t>
  </si>
  <si>
    <t>Esquennoy</t>
  </si>
  <si>
    <t>Montivilliers</t>
  </si>
  <si>
    <t>Paris Finances</t>
  </si>
  <si>
    <t>Vigneux</t>
  </si>
  <si>
    <t>Amiens USC</t>
  </si>
  <si>
    <t>Dourges ABC</t>
  </si>
  <si>
    <t>Le Havre ALA</t>
  </si>
  <si>
    <t>Bihorel GCO</t>
  </si>
  <si>
    <t>Dechy SMEP</t>
  </si>
  <si>
    <t>Blois ADA</t>
  </si>
  <si>
    <t>Caen ASPTT</t>
  </si>
  <si>
    <t>Alfortville US</t>
  </si>
  <si>
    <t>Chartres</t>
  </si>
  <si>
    <t>Coulaines JS</t>
  </si>
  <si>
    <t>Langueux BC</t>
  </si>
  <si>
    <t>Nantes Moulin</t>
  </si>
  <si>
    <t>Lorient CEP</t>
  </si>
  <si>
    <t>Brest PLR</t>
  </si>
  <si>
    <t>Nantes Rézé</t>
  </si>
  <si>
    <t>Gaujacq Chalosse</t>
  </si>
  <si>
    <t>Marmande BB</t>
  </si>
  <si>
    <t>Benevent AL</t>
  </si>
  <si>
    <t>Après la 20° journée</t>
  </si>
  <si>
    <t>Souffelweyersh.</t>
  </si>
</sst>
</file>

<file path=xl/styles.xml><?xml version="1.0" encoding="utf-8"?>
<styleSheet xmlns="http://schemas.openxmlformats.org/spreadsheetml/2006/main">
  <numFmts count="14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0.0000000"/>
  </numFmts>
  <fonts count="21">
    <font>
      <sz val="12"/>
      <name val="Garamond"/>
      <family val="0"/>
    </font>
    <font>
      <b/>
      <sz val="12"/>
      <name val="Garamond"/>
      <family val="0"/>
    </font>
    <font>
      <i/>
      <sz val="12"/>
      <name val="Garamond"/>
      <family val="0"/>
    </font>
    <font>
      <b/>
      <i/>
      <sz val="12"/>
      <name val="Garamond"/>
      <family val="0"/>
    </font>
    <font>
      <b/>
      <sz val="11"/>
      <name val="Garamond"/>
      <family val="1"/>
    </font>
    <font>
      <sz val="11"/>
      <name val="Garamond"/>
      <family val="1"/>
    </font>
    <font>
      <sz val="12"/>
      <color indexed="10"/>
      <name val="Garamond"/>
      <family val="1"/>
    </font>
    <font>
      <sz val="12"/>
      <color indexed="8"/>
      <name val="Garamond"/>
      <family val="1"/>
    </font>
    <font>
      <sz val="12"/>
      <color indexed="17"/>
      <name val="Impact"/>
      <family val="2"/>
    </font>
    <font>
      <i/>
      <u val="single"/>
      <sz val="12"/>
      <color indexed="17"/>
      <name val="Impact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sz val="12"/>
      <color indexed="17"/>
      <name val="Arial"/>
      <family val="2"/>
    </font>
    <font>
      <b/>
      <sz val="12"/>
      <color indexed="10"/>
      <name val="Garamond"/>
      <family val="1"/>
    </font>
    <font>
      <i/>
      <sz val="12"/>
      <color indexed="10"/>
      <name val="Garamond"/>
      <family val="1"/>
    </font>
    <font>
      <b/>
      <sz val="12"/>
      <color indexed="8"/>
      <name val="Garamond"/>
      <family val="1"/>
    </font>
    <font>
      <i/>
      <sz val="12"/>
      <color indexed="8"/>
      <name val="Garamond"/>
      <family val="1"/>
    </font>
    <font>
      <b/>
      <sz val="12"/>
      <color indexed="17"/>
      <name val="Impact"/>
      <family val="2"/>
    </font>
    <font>
      <b/>
      <u val="single"/>
      <sz val="12"/>
      <color indexed="17"/>
      <name val="Impact"/>
      <family val="2"/>
    </font>
    <font>
      <u val="single"/>
      <sz val="12"/>
      <color indexed="17"/>
      <name val="Impact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2" xfId="0" applyBorder="1" applyAlignment="1">
      <alignment/>
    </xf>
    <xf numFmtId="0" fontId="0" fillId="0" borderId="3" xfId="0" applyBorder="1" applyAlignment="1">
      <alignment horizontal="center"/>
    </xf>
    <xf numFmtId="0" fontId="7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6" fillId="2" borderId="0" xfId="0" applyFont="1" applyFill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2" xfId="0" applyFont="1" applyBorder="1" applyAlignment="1">
      <alignment horizontal="center"/>
    </xf>
    <xf numFmtId="0" fontId="5" fillId="2" borderId="0" xfId="0" applyFont="1" applyFill="1" applyAlignment="1">
      <alignment horizontal="center" vertical="center" wrapText="1"/>
    </xf>
    <xf numFmtId="2" fontId="0" fillId="2" borderId="0" xfId="0" applyNumberFormat="1" applyFill="1" applyAlignment="1">
      <alignment horizontal="center"/>
    </xf>
    <xf numFmtId="0" fontId="0" fillId="0" borderId="0" xfId="0" applyFont="1" applyAlignment="1">
      <alignment wrapText="1"/>
    </xf>
    <xf numFmtId="0" fontId="6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1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2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0" fontId="10" fillId="0" borderId="0" xfId="0" applyFont="1" applyAlignment="1">
      <alignment horizontal="center" wrapText="1"/>
    </xf>
    <xf numFmtId="0" fontId="11" fillId="0" borderId="0" xfId="0" applyFont="1" applyAlignment="1">
      <alignment horizontal="center" wrapText="1"/>
    </xf>
    <xf numFmtId="0" fontId="12" fillId="0" borderId="0" xfId="0" applyFont="1" applyAlignment="1">
      <alignment horizontal="center" wrapText="1"/>
    </xf>
    <xf numFmtId="0" fontId="13" fillId="0" borderId="0" xfId="0" applyFont="1" applyAlignment="1">
      <alignment horizontal="center" wrapText="1"/>
    </xf>
    <xf numFmtId="0" fontId="14" fillId="2" borderId="0" xfId="0" applyFont="1" applyFill="1" applyAlignment="1">
      <alignment/>
    </xf>
    <xf numFmtId="0" fontId="15" fillId="2" borderId="0" xfId="0" applyFont="1" applyFill="1" applyAlignment="1">
      <alignment/>
    </xf>
    <xf numFmtId="2" fontId="0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 wrapText="1"/>
    </xf>
    <xf numFmtId="0" fontId="16" fillId="0" borderId="0" xfId="0" applyFont="1" applyAlignment="1">
      <alignment wrapText="1"/>
    </xf>
    <xf numFmtId="0" fontId="17" fillId="0" borderId="0" xfId="0" applyFont="1" applyAlignment="1">
      <alignment/>
    </xf>
    <xf numFmtId="0" fontId="16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9" fillId="0" borderId="0" xfId="0" applyFont="1" applyAlignment="1">
      <alignment wrapText="1"/>
    </xf>
    <xf numFmtId="2" fontId="0" fillId="2" borderId="0" xfId="0" applyNumberFormat="1" applyFont="1" applyFill="1" applyAlignment="1">
      <alignment horizontal="center"/>
    </xf>
    <xf numFmtId="0" fontId="11" fillId="0" borderId="0" xfId="0" applyFont="1" applyAlignment="1">
      <alignment/>
    </xf>
    <xf numFmtId="2" fontId="11" fillId="0" borderId="0" xfId="0" applyNumberFormat="1" applyFont="1" applyAlignment="1">
      <alignment horizontal="center"/>
    </xf>
    <xf numFmtId="1" fontId="11" fillId="0" borderId="0" xfId="0" applyNumberFormat="1" applyFont="1" applyAlignment="1">
      <alignment horizontal="center"/>
    </xf>
    <xf numFmtId="0" fontId="19" fillId="0" borderId="0" xfId="0" applyFont="1" applyFill="1" applyAlignment="1">
      <alignment/>
    </xf>
    <xf numFmtId="1" fontId="0" fillId="0" borderId="0" xfId="0" applyNumberFormat="1" applyFont="1" applyAlignment="1">
      <alignment horizontal="center"/>
    </xf>
    <xf numFmtId="0" fontId="0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3"/>
  <sheetViews>
    <sheetView tabSelected="1" workbookViewId="0" topLeftCell="A1">
      <selection activeCell="A1" sqref="A1"/>
    </sheetView>
  </sheetViews>
  <sheetFormatPr defaultColWidth="11.00390625" defaultRowHeight="15.75"/>
  <cols>
    <col min="1" max="1" width="5.25390625" style="33" customWidth="1"/>
    <col min="2" max="2" width="17.25390625" style="14" customWidth="1"/>
    <col min="3" max="3" width="5.75390625" style="14" customWidth="1"/>
    <col min="4" max="4" width="5.75390625" style="32" customWidth="1"/>
    <col min="5" max="5" width="4.625" style="14" customWidth="1"/>
    <col min="6" max="6" width="4.25390625" style="14" customWidth="1"/>
    <col min="7" max="7" width="7.125" style="32" customWidth="1"/>
    <col min="8" max="8" width="7.25390625" style="32" customWidth="1"/>
    <col min="9" max="9" width="8.625" style="32" customWidth="1"/>
    <col min="10" max="10" width="9.25390625" style="32" customWidth="1"/>
    <col min="11" max="11" width="5.125" style="32" bestFit="1" customWidth="1"/>
    <col min="12" max="12" width="1.25" style="32" customWidth="1"/>
    <col min="13" max="13" width="5.375" style="32" customWidth="1"/>
    <col min="14" max="16384" width="11.00390625" style="32" customWidth="1"/>
  </cols>
  <sheetData>
    <row r="1" spans="1:13" ht="29.25" customHeight="1">
      <c r="A1" s="26" t="s">
        <v>0</v>
      </c>
      <c r="B1" s="27" t="s">
        <v>166</v>
      </c>
      <c r="C1" s="28" t="s">
        <v>1</v>
      </c>
      <c r="D1" s="29" t="s">
        <v>52</v>
      </c>
      <c r="E1" s="28" t="s">
        <v>2</v>
      </c>
      <c r="F1" s="28" t="s">
        <v>3</v>
      </c>
      <c r="G1" s="30" t="s">
        <v>4</v>
      </c>
      <c r="H1" s="30" t="s">
        <v>5</v>
      </c>
      <c r="I1" s="30" t="s">
        <v>6</v>
      </c>
      <c r="J1" s="30" t="s">
        <v>7</v>
      </c>
      <c r="K1" s="31" t="s">
        <v>8</v>
      </c>
      <c r="L1" s="30"/>
      <c r="M1" s="31"/>
    </row>
    <row r="2" spans="1:11" s="39" customFormat="1" ht="15.75">
      <c r="A2" s="33" t="s">
        <v>9</v>
      </c>
      <c r="B2" s="16" t="s">
        <v>10</v>
      </c>
      <c r="C2" s="34">
        <f aca="true" t="shared" si="0" ref="C2:C10">D2+E2</f>
        <v>38</v>
      </c>
      <c r="D2" s="35">
        <v>20</v>
      </c>
      <c r="E2" s="36">
        <v>18</v>
      </c>
      <c r="F2" s="37">
        <v>2</v>
      </c>
      <c r="G2" s="35">
        <f>1699+89</f>
        <v>1788</v>
      </c>
      <c r="H2" s="35">
        <f>1267+81</f>
        <v>1348</v>
      </c>
      <c r="I2" s="64">
        <f>G2/D2</f>
        <v>89.4</v>
      </c>
      <c r="J2" s="64">
        <f>H2/D2</f>
        <v>67.4</v>
      </c>
      <c r="K2" s="65">
        <f aca="true" t="shared" si="1" ref="K2:K13">G2-H2</f>
        <v>440</v>
      </c>
    </row>
    <row r="3" spans="1:11" s="39" customFormat="1" ht="15.75">
      <c r="A3" s="40" t="s">
        <v>9</v>
      </c>
      <c r="B3" s="14" t="s">
        <v>127</v>
      </c>
      <c r="C3" s="34">
        <f t="shared" si="0"/>
        <v>35</v>
      </c>
      <c r="D3" s="35">
        <v>20</v>
      </c>
      <c r="E3" s="36">
        <v>15</v>
      </c>
      <c r="F3" s="37">
        <v>5</v>
      </c>
      <c r="G3" s="35">
        <f>1912+110</f>
        <v>2022</v>
      </c>
      <c r="H3" s="35">
        <f>1658+80</f>
        <v>1738</v>
      </c>
      <c r="I3" s="64">
        <f aca="true" t="shared" si="2" ref="I3:I13">G3/D3</f>
        <v>101.1</v>
      </c>
      <c r="J3" s="64">
        <f aca="true" t="shared" si="3" ref="J3:J13">H3/D3</f>
        <v>86.9</v>
      </c>
      <c r="K3" s="65">
        <f t="shared" si="1"/>
        <v>284</v>
      </c>
    </row>
    <row r="4" spans="1:11" s="39" customFormat="1" ht="15.75">
      <c r="A4" s="40" t="s">
        <v>9</v>
      </c>
      <c r="B4" s="14" t="s">
        <v>128</v>
      </c>
      <c r="C4" s="34">
        <f t="shared" si="0"/>
        <v>33</v>
      </c>
      <c r="D4" s="35">
        <v>20</v>
      </c>
      <c r="E4" s="36">
        <v>13</v>
      </c>
      <c r="F4" s="37">
        <v>7</v>
      </c>
      <c r="G4" s="35">
        <f>1490+88</f>
        <v>1578</v>
      </c>
      <c r="H4" s="35">
        <f>1463+45</f>
        <v>1508</v>
      </c>
      <c r="I4" s="64">
        <f t="shared" si="2"/>
        <v>78.9</v>
      </c>
      <c r="J4" s="64">
        <f t="shared" si="3"/>
        <v>75.4</v>
      </c>
      <c r="K4" s="65">
        <f t="shared" si="1"/>
        <v>70</v>
      </c>
    </row>
    <row r="5" spans="1:11" s="39" customFormat="1" ht="15.75">
      <c r="A5" s="40" t="s">
        <v>9</v>
      </c>
      <c r="B5" s="12" t="s">
        <v>13</v>
      </c>
      <c r="C5" s="34">
        <f t="shared" si="0"/>
        <v>32</v>
      </c>
      <c r="D5" s="35">
        <v>20</v>
      </c>
      <c r="E5" s="36">
        <v>12</v>
      </c>
      <c r="F5" s="37">
        <v>8</v>
      </c>
      <c r="G5" s="35">
        <f>1632+78</f>
        <v>1710</v>
      </c>
      <c r="H5" s="35">
        <f>1555+75</f>
        <v>1630</v>
      </c>
      <c r="I5" s="64">
        <f t="shared" si="2"/>
        <v>85.5</v>
      </c>
      <c r="J5" s="64">
        <f t="shared" si="3"/>
        <v>81.5</v>
      </c>
      <c r="K5" s="65">
        <f t="shared" si="1"/>
        <v>80</v>
      </c>
    </row>
    <row r="6" spans="1:11" s="39" customFormat="1" ht="15.75">
      <c r="A6" s="40" t="s">
        <v>9</v>
      </c>
      <c r="B6" s="14" t="s">
        <v>55</v>
      </c>
      <c r="C6" s="34">
        <f t="shared" si="0"/>
        <v>31</v>
      </c>
      <c r="D6" s="35">
        <v>20</v>
      </c>
      <c r="E6" s="36">
        <v>11</v>
      </c>
      <c r="F6" s="37">
        <v>9</v>
      </c>
      <c r="G6" s="35">
        <f>1640+91</f>
        <v>1731</v>
      </c>
      <c r="H6" s="35">
        <f>1625+82</f>
        <v>1707</v>
      </c>
      <c r="I6" s="64">
        <f t="shared" si="2"/>
        <v>86.55</v>
      </c>
      <c r="J6" s="64">
        <f t="shared" si="3"/>
        <v>85.35</v>
      </c>
      <c r="K6" s="65">
        <f t="shared" si="1"/>
        <v>24</v>
      </c>
    </row>
    <row r="7" spans="1:11" s="39" customFormat="1" ht="15.75">
      <c r="A7" s="40" t="s">
        <v>9</v>
      </c>
      <c r="B7" s="52" t="s">
        <v>95</v>
      </c>
      <c r="C7" s="34">
        <f t="shared" si="0"/>
        <v>31</v>
      </c>
      <c r="D7" s="35">
        <v>20</v>
      </c>
      <c r="E7" s="36">
        <v>11</v>
      </c>
      <c r="F7" s="37">
        <v>9</v>
      </c>
      <c r="G7" s="35">
        <f>1652+81</f>
        <v>1733</v>
      </c>
      <c r="H7" s="35">
        <v>1689</v>
      </c>
      <c r="I7" s="64">
        <f t="shared" si="2"/>
        <v>86.65</v>
      </c>
      <c r="J7" s="64">
        <f t="shared" si="3"/>
        <v>84.45</v>
      </c>
      <c r="K7" s="65">
        <f t="shared" si="1"/>
        <v>44</v>
      </c>
    </row>
    <row r="8" spans="1:11" s="39" customFormat="1" ht="15.75">
      <c r="A8" s="40" t="s">
        <v>9</v>
      </c>
      <c r="B8" s="14" t="s">
        <v>17</v>
      </c>
      <c r="C8" s="34">
        <f t="shared" si="0"/>
        <v>31</v>
      </c>
      <c r="D8" s="35">
        <v>20</v>
      </c>
      <c r="E8" s="36">
        <v>11</v>
      </c>
      <c r="F8" s="37">
        <v>9</v>
      </c>
      <c r="G8" s="35">
        <f>1594+83</f>
        <v>1677</v>
      </c>
      <c r="H8" s="35">
        <f>1648+53</f>
        <v>1701</v>
      </c>
      <c r="I8" s="64">
        <f t="shared" si="2"/>
        <v>83.85</v>
      </c>
      <c r="J8" s="64">
        <f t="shared" si="3"/>
        <v>85.05</v>
      </c>
      <c r="K8" s="65">
        <f t="shared" si="1"/>
        <v>-24</v>
      </c>
    </row>
    <row r="9" spans="1:11" s="39" customFormat="1" ht="15.75">
      <c r="A9" s="40" t="s">
        <v>9</v>
      </c>
      <c r="B9" s="12" t="s">
        <v>129</v>
      </c>
      <c r="C9" s="34">
        <f t="shared" si="0"/>
        <v>30</v>
      </c>
      <c r="D9" s="35">
        <v>20</v>
      </c>
      <c r="E9" s="36">
        <v>10</v>
      </c>
      <c r="F9" s="37">
        <v>10</v>
      </c>
      <c r="G9" s="35">
        <f>1458+80</f>
        <v>1538</v>
      </c>
      <c r="H9" s="35">
        <f>1470+110</f>
        <v>1580</v>
      </c>
      <c r="I9" s="64">
        <f t="shared" si="2"/>
        <v>76.9</v>
      </c>
      <c r="J9" s="64">
        <f t="shared" si="3"/>
        <v>79</v>
      </c>
      <c r="K9" s="65">
        <f t="shared" si="1"/>
        <v>-42</v>
      </c>
    </row>
    <row r="10" spans="1:11" s="39" customFormat="1" ht="15.75">
      <c r="A10" s="40" t="s">
        <v>9</v>
      </c>
      <c r="B10" s="53" t="s">
        <v>96</v>
      </c>
      <c r="C10" s="34">
        <f t="shared" si="0"/>
        <v>30</v>
      </c>
      <c r="D10" s="35">
        <v>20</v>
      </c>
      <c r="E10" s="36">
        <v>10</v>
      </c>
      <c r="F10" s="37">
        <v>10</v>
      </c>
      <c r="G10" s="35">
        <f>1561+82</f>
        <v>1643</v>
      </c>
      <c r="H10" s="35">
        <f>1627+91</f>
        <v>1718</v>
      </c>
      <c r="I10" s="64">
        <f t="shared" si="2"/>
        <v>82.15</v>
      </c>
      <c r="J10" s="64">
        <f t="shared" si="3"/>
        <v>85.9</v>
      </c>
      <c r="K10" s="65">
        <f t="shared" si="1"/>
        <v>-75</v>
      </c>
    </row>
    <row r="11" spans="1:11" s="39" customFormat="1" ht="16.5">
      <c r="A11" s="40" t="s">
        <v>9</v>
      </c>
      <c r="B11" s="17" t="s">
        <v>12</v>
      </c>
      <c r="C11" s="34">
        <f>D11+E11</f>
        <v>24</v>
      </c>
      <c r="D11" s="35">
        <v>20</v>
      </c>
      <c r="E11" s="36">
        <v>4</v>
      </c>
      <c r="F11" s="37">
        <v>16</v>
      </c>
      <c r="G11" s="35">
        <f>1433+75</f>
        <v>1508</v>
      </c>
      <c r="H11" s="35">
        <f>1559+78</f>
        <v>1637</v>
      </c>
      <c r="I11" s="64">
        <f t="shared" si="2"/>
        <v>75.4</v>
      </c>
      <c r="J11" s="64">
        <f t="shared" si="3"/>
        <v>81.85</v>
      </c>
      <c r="K11" s="65">
        <f t="shared" si="1"/>
        <v>-129</v>
      </c>
    </row>
    <row r="12" spans="1:11" s="39" customFormat="1" ht="16.5">
      <c r="A12" s="40" t="s">
        <v>9</v>
      </c>
      <c r="B12" s="58" t="s">
        <v>97</v>
      </c>
      <c r="C12" s="34">
        <f>D12+E12</f>
        <v>24</v>
      </c>
      <c r="D12" s="35">
        <v>20</v>
      </c>
      <c r="E12" s="36">
        <v>4</v>
      </c>
      <c r="F12" s="37">
        <v>16</v>
      </c>
      <c r="G12" s="35">
        <f>1375+45</f>
        <v>1420</v>
      </c>
      <c r="H12" s="35">
        <f>1633+88</f>
        <v>1721</v>
      </c>
      <c r="I12" s="64">
        <f t="shared" si="2"/>
        <v>71</v>
      </c>
      <c r="J12" s="64">
        <f t="shared" si="3"/>
        <v>86.05</v>
      </c>
      <c r="K12" s="65">
        <f t="shared" si="1"/>
        <v>-301</v>
      </c>
    </row>
    <row r="13" spans="1:13" s="39" customFormat="1" ht="16.5">
      <c r="A13" s="40" t="s">
        <v>9</v>
      </c>
      <c r="B13" s="59" t="s">
        <v>98</v>
      </c>
      <c r="C13" s="34">
        <f>D13+E13</f>
        <v>21</v>
      </c>
      <c r="D13" s="35">
        <v>20</v>
      </c>
      <c r="E13" s="36">
        <v>1</v>
      </c>
      <c r="F13" s="37">
        <v>19</v>
      </c>
      <c r="G13" s="35">
        <f>1337+53</f>
        <v>1390</v>
      </c>
      <c r="H13" s="35">
        <f>1678+83</f>
        <v>1761</v>
      </c>
      <c r="I13" s="64">
        <f t="shared" si="2"/>
        <v>69.5</v>
      </c>
      <c r="J13" s="64">
        <f t="shared" si="3"/>
        <v>88.05</v>
      </c>
      <c r="K13" s="65">
        <f t="shared" si="1"/>
        <v>-371</v>
      </c>
      <c r="L13" s="41"/>
      <c r="M13" s="42">
        <f>SUM(I2:I13)/12</f>
        <v>82.24166666666666</v>
      </c>
    </row>
    <row r="14" spans="1:11" ht="13.5" customHeight="1">
      <c r="A14" s="40"/>
      <c r="C14" s="13"/>
      <c r="D14" s="33"/>
      <c r="E14" s="13"/>
      <c r="F14" s="13"/>
      <c r="G14" s="33"/>
      <c r="H14" s="33"/>
      <c r="I14" s="43"/>
      <c r="J14" s="43"/>
      <c r="K14" s="44"/>
    </row>
    <row r="15" spans="1:11" s="39" customFormat="1" ht="15.75">
      <c r="A15" s="33" t="s">
        <v>15</v>
      </c>
      <c r="B15" s="23" t="s">
        <v>53</v>
      </c>
      <c r="C15" s="45">
        <f aca="true" t="shared" si="4" ref="C15:C26">D15+E15</f>
        <v>37</v>
      </c>
      <c r="D15" s="46">
        <v>20</v>
      </c>
      <c r="E15" s="47">
        <v>17</v>
      </c>
      <c r="F15" s="48">
        <v>3</v>
      </c>
      <c r="G15" s="46">
        <f>1591+91</f>
        <v>1682</v>
      </c>
      <c r="H15" s="46">
        <f>1395+78</f>
        <v>1473</v>
      </c>
      <c r="I15" s="64">
        <f>G15/D15</f>
        <v>84.1</v>
      </c>
      <c r="J15" s="64">
        <f>H15/D15</f>
        <v>73.65</v>
      </c>
      <c r="K15" s="65">
        <f aca="true" t="shared" si="5" ref="K15:K26">G15-H15</f>
        <v>209</v>
      </c>
    </row>
    <row r="16" spans="1:11" s="39" customFormat="1" ht="15.75">
      <c r="A16" s="40" t="s">
        <v>15</v>
      </c>
      <c r="B16" s="22" t="s">
        <v>54</v>
      </c>
      <c r="C16" s="45">
        <f t="shared" si="4"/>
        <v>34</v>
      </c>
      <c r="D16" s="46">
        <v>20</v>
      </c>
      <c r="E16" s="47">
        <v>14</v>
      </c>
      <c r="F16" s="48">
        <v>6</v>
      </c>
      <c r="G16" s="46">
        <f>1522+70</f>
        <v>1592</v>
      </c>
      <c r="H16" s="46">
        <f>1371+68</f>
        <v>1439</v>
      </c>
      <c r="I16" s="64">
        <f aca="true" t="shared" si="6" ref="I16:I26">G16/D16</f>
        <v>79.6</v>
      </c>
      <c r="J16" s="64">
        <f aca="true" t="shared" si="7" ref="J16:J26">H16/D16</f>
        <v>71.95</v>
      </c>
      <c r="K16" s="65">
        <f t="shared" si="5"/>
        <v>153</v>
      </c>
    </row>
    <row r="17" spans="1:11" s="39" customFormat="1" ht="15.75">
      <c r="A17" s="40" t="s">
        <v>15</v>
      </c>
      <c r="B17" s="22" t="s">
        <v>14</v>
      </c>
      <c r="C17" s="45">
        <f t="shared" si="4"/>
        <v>33</v>
      </c>
      <c r="D17" s="46">
        <v>20</v>
      </c>
      <c r="E17" s="47">
        <v>13</v>
      </c>
      <c r="F17" s="48">
        <v>7</v>
      </c>
      <c r="G17" s="46">
        <v>1637</v>
      </c>
      <c r="H17" s="46">
        <v>1481</v>
      </c>
      <c r="I17" s="64">
        <f t="shared" si="6"/>
        <v>81.85</v>
      </c>
      <c r="J17" s="64">
        <f t="shared" si="7"/>
        <v>74.05</v>
      </c>
      <c r="K17" s="65">
        <f t="shared" si="5"/>
        <v>156</v>
      </c>
    </row>
    <row r="18" spans="1:11" s="39" customFormat="1" ht="15.75">
      <c r="A18" s="40" t="s">
        <v>15</v>
      </c>
      <c r="B18" s="54" t="s">
        <v>90</v>
      </c>
      <c r="C18" s="45">
        <f t="shared" si="4"/>
        <v>32</v>
      </c>
      <c r="D18" s="46">
        <v>20</v>
      </c>
      <c r="E18" s="47">
        <v>12</v>
      </c>
      <c r="F18" s="48">
        <v>8</v>
      </c>
      <c r="G18" s="46">
        <f>1440+75</f>
        <v>1515</v>
      </c>
      <c r="H18" s="46">
        <f>1283+73</f>
        <v>1356</v>
      </c>
      <c r="I18" s="64">
        <f t="shared" si="6"/>
        <v>75.75</v>
      </c>
      <c r="J18" s="64">
        <f t="shared" si="7"/>
        <v>67.8</v>
      </c>
      <c r="K18" s="65">
        <f t="shared" si="5"/>
        <v>159</v>
      </c>
    </row>
    <row r="19" spans="1:11" s="39" customFormat="1" ht="15.75">
      <c r="A19" s="40" t="s">
        <v>15</v>
      </c>
      <c r="B19" s="22" t="s">
        <v>16</v>
      </c>
      <c r="C19" s="45">
        <f t="shared" si="4"/>
        <v>31</v>
      </c>
      <c r="D19" s="46">
        <v>20</v>
      </c>
      <c r="E19" s="47">
        <v>11</v>
      </c>
      <c r="F19" s="48">
        <v>9</v>
      </c>
      <c r="G19" s="46">
        <f>1533+73</f>
        <v>1606</v>
      </c>
      <c r="H19" s="46">
        <f>1487+75</f>
        <v>1562</v>
      </c>
      <c r="I19" s="64">
        <f t="shared" si="6"/>
        <v>80.3</v>
      </c>
      <c r="J19" s="64">
        <f t="shared" si="7"/>
        <v>78.1</v>
      </c>
      <c r="K19" s="65">
        <f t="shared" si="5"/>
        <v>44</v>
      </c>
    </row>
    <row r="20" spans="1:11" s="39" customFormat="1" ht="15.75">
      <c r="A20" s="40" t="s">
        <v>15</v>
      </c>
      <c r="B20" s="22" t="s">
        <v>91</v>
      </c>
      <c r="C20" s="45">
        <f t="shared" si="4"/>
        <v>31</v>
      </c>
      <c r="D20" s="46">
        <v>20</v>
      </c>
      <c r="E20" s="47">
        <v>11</v>
      </c>
      <c r="F20" s="48">
        <v>9</v>
      </c>
      <c r="G20" s="46">
        <f>1501+63</f>
        <v>1564</v>
      </c>
      <c r="H20" s="46">
        <f>1475+84</f>
        <v>1559</v>
      </c>
      <c r="I20" s="64">
        <f t="shared" si="6"/>
        <v>78.2</v>
      </c>
      <c r="J20" s="64">
        <f t="shared" si="7"/>
        <v>77.95</v>
      </c>
      <c r="K20" s="65">
        <f t="shared" si="5"/>
        <v>5</v>
      </c>
    </row>
    <row r="21" spans="1:11" s="39" customFormat="1" ht="15.75">
      <c r="A21" s="40" t="s">
        <v>15</v>
      </c>
      <c r="B21" s="22" t="s">
        <v>92</v>
      </c>
      <c r="C21" s="45">
        <f t="shared" si="4"/>
        <v>29</v>
      </c>
      <c r="D21" s="46">
        <v>20</v>
      </c>
      <c r="E21" s="47">
        <v>9</v>
      </c>
      <c r="F21" s="48">
        <v>11</v>
      </c>
      <c r="G21" s="46">
        <f>1453+68</f>
        <v>1521</v>
      </c>
      <c r="H21" s="46">
        <f>1537+70</f>
        <v>1607</v>
      </c>
      <c r="I21" s="64">
        <f t="shared" si="6"/>
        <v>76.05</v>
      </c>
      <c r="J21" s="64">
        <f t="shared" si="7"/>
        <v>80.35</v>
      </c>
      <c r="K21" s="65">
        <f t="shared" si="5"/>
        <v>-86</v>
      </c>
    </row>
    <row r="22" spans="1:11" s="39" customFormat="1" ht="15.75">
      <c r="A22" s="40" t="s">
        <v>15</v>
      </c>
      <c r="B22" s="22" t="s">
        <v>130</v>
      </c>
      <c r="C22" s="45">
        <f t="shared" si="4"/>
        <v>28</v>
      </c>
      <c r="D22" s="46">
        <v>20</v>
      </c>
      <c r="E22" s="47">
        <v>8</v>
      </c>
      <c r="F22" s="48">
        <v>12</v>
      </c>
      <c r="G22" s="46">
        <f>1590+78</f>
        <v>1668</v>
      </c>
      <c r="H22" s="46">
        <f>1665+91</f>
        <v>1756</v>
      </c>
      <c r="I22" s="64">
        <f t="shared" si="6"/>
        <v>83.4</v>
      </c>
      <c r="J22" s="64">
        <f t="shared" si="7"/>
        <v>87.8</v>
      </c>
      <c r="K22" s="65">
        <f t="shared" si="5"/>
        <v>-88</v>
      </c>
    </row>
    <row r="23" spans="1:11" s="39" customFormat="1" ht="15.75">
      <c r="A23" s="40" t="s">
        <v>15</v>
      </c>
      <c r="B23" s="55" t="s">
        <v>93</v>
      </c>
      <c r="C23" s="45">
        <f t="shared" si="4"/>
        <v>28</v>
      </c>
      <c r="D23" s="46">
        <v>20</v>
      </c>
      <c r="E23" s="47">
        <v>8</v>
      </c>
      <c r="F23" s="48">
        <v>12</v>
      </c>
      <c r="G23" s="46">
        <f>1453+56</f>
        <v>1509</v>
      </c>
      <c r="H23" s="46">
        <f>1553+69</f>
        <v>1622</v>
      </c>
      <c r="I23" s="64">
        <f t="shared" si="6"/>
        <v>75.45</v>
      </c>
      <c r="J23" s="64">
        <f t="shared" si="7"/>
        <v>81.1</v>
      </c>
      <c r="K23" s="65">
        <f t="shared" si="5"/>
        <v>-113</v>
      </c>
    </row>
    <row r="24" spans="1:11" s="39" customFormat="1" ht="16.5">
      <c r="A24" s="40" t="s">
        <v>15</v>
      </c>
      <c r="B24" s="24" t="s">
        <v>18</v>
      </c>
      <c r="C24" s="45">
        <f t="shared" si="4"/>
        <v>28</v>
      </c>
      <c r="D24" s="46">
        <v>20</v>
      </c>
      <c r="E24" s="47">
        <v>8</v>
      </c>
      <c r="F24" s="48">
        <v>12</v>
      </c>
      <c r="G24" s="46">
        <f>1371+74</f>
        <v>1445</v>
      </c>
      <c r="H24" s="46">
        <f>1441+77</f>
        <v>1518</v>
      </c>
      <c r="I24" s="64">
        <f t="shared" si="6"/>
        <v>72.25</v>
      </c>
      <c r="J24" s="64">
        <f t="shared" si="7"/>
        <v>75.9</v>
      </c>
      <c r="K24" s="65">
        <f t="shared" si="5"/>
        <v>-73</v>
      </c>
    </row>
    <row r="25" spans="1:12" s="39" customFormat="1" ht="16.5">
      <c r="A25" s="40" t="s">
        <v>15</v>
      </c>
      <c r="B25" s="24" t="s">
        <v>68</v>
      </c>
      <c r="C25" s="45">
        <f t="shared" si="4"/>
        <v>26</v>
      </c>
      <c r="D25" s="46">
        <v>20</v>
      </c>
      <c r="E25" s="47">
        <v>6</v>
      </c>
      <c r="F25" s="48">
        <v>14</v>
      </c>
      <c r="G25" s="46">
        <f>1435+77</f>
        <v>1512</v>
      </c>
      <c r="H25" s="46">
        <f>1539+74</f>
        <v>1613</v>
      </c>
      <c r="I25" s="64">
        <f t="shared" si="6"/>
        <v>75.6</v>
      </c>
      <c r="J25" s="64">
        <f t="shared" si="7"/>
        <v>80.65</v>
      </c>
      <c r="K25" s="65">
        <f t="shared" si="5"/>
        <v>-101</v>
      </c>
      <c r="L25" s="41"/>
    </row>
    <row r="26" spans="1:13" s="39" customFormat="1" ht="16.5">
      <c r="A26" s="40" t="s">
        <v>15</v>
      </c>
      <c r="B26" s="61" t="s">
        <v>94</v>
      </c>
      <c r="C26" s="45">
        <f t="shared" si="4"/>
        <v>23</v>
      </c>
      <c r="D26" s="46">
        <v>20</v>
      </c>
      <c r="E26" s="47">
        <v>3</v>
      </c>
      <c r="F26" s="48">
        <v>17</v>
      </c>
      <c r="G26" s="46">
        <f>1288+69</f>
        <v>1357</v>
      </c>
      <c r="H26" s="46">
        <f>1566+56</f>
        <v>1622</v>
      </c>
      <c r="I26" s="64">
        <f t="shared" si="6"/>
        <v>67.85</v>
      </c>
      <c r="J26" s="64">
        <f t="shared" si="7"/>
        <v>81.1</v>
      </c>
      <c r="K26" s="65">
        <f t="shared" si="5"/>
        <v>-265</v>
      </c>
      <c r="L26" s="41"/>
      <c r="M26" s="42">
        <f>SUM(I15:I26)/12</f>
        <v>77.53333333333333</v>
      </c>
    </row>
    <row r="27" spans="1:11" ht="17.25" customHeight="1">
      <c r="A27" s="40"/>
      <c r="C27" s="13"/>
      <c r="D27" s="33"/>
      <c r="E27" s="13"/>
      <c r="F27" s="13"/>
      <c r="G27" s="33"/>
      <c r="H27" s="33"/>
      <c r="I27" s="43"/>
      <c r="J27" s="43"/>
      <c r="K27" s="44"/>
    </row>
    <row r="28" spans="1:11" s="39" customFormat="1" ht="15.75">
      <c r="A28" s="33" t="s">
        <v>19</v>
      </c>
      <c r="B28" s="49" t="s">
        <v>83</v>
      </c>
      <c r="C28" s="34">
        <f aca="true" t="shared" si="8" ref="C28:C39">D28+E28</f>
        <v>38</v>
      </c>
      <c r="D28" s="35">
        <v>20</v>
      </c>
      <c r="E28" s="36">
        <v>18</v>
      </c>
      <c r="F28" s="37">
        <v>2</v>
      </c>
      <c r="G28" s="35">
        <f>1659+72</f>
        <v>1731</v>
      </c>
      <c r="H28" s="35">
        <f>1294+70</f>
        <v>1364</v>
      </c>
      <c r="I28" s="64">
        <f>G28/D28</f>
        <v>86.55</v>
      </c>
      <c r="J28" s="64">
        <f>H28/D28</f>
        <v>68.2</v>
      </c>
      <c r="K28" s="38">
        <f aca="true" t="shared" si="9" ref="K28:K39">G28-H28</f>
        <v>367</v>
      </c>
    </row>
    <row r="29" spans="1:11" s="39" customFormat="1" ht="15.75">
      <c r="A29" s="40" t="s">
        <v>19</v>
      </c>
      <c r="B29" s="12" t="s">
        <v>11</v>
      </c>
      <c r="C29" s="34">
        <f t="shared" si="8"/>
        <v>37</v>
      </c>
      <c r="D29" s="35">
        <v>20</v>
      </c>
      <c r="E29" s="36">
        <v>17</v>
      </c>
      <c r="F29" s="37">
        <v>3</v>
      </c>
      <c r="G29" s="35">
        <v>1731</v>
      </c>
      <c r="H29" s="35">
        <v>1432</v>
      </c>
      <c r="I29" s="64">
        <f aca="true" t="shared" si="10" ref="I29:I39">G29/D29</f>
        <v>86.55</v>
      </c>
      <c r="J29" s="64">
        <f aca="true" t="shared" si="11" ref="J29:J39">H29/D29</f>
        <v>71.6</v>
      </c>
      <c r="K29" s="38">
        <f t="shared" si="9"/>
        <v>299</v>
      </c>
    </row>
    <row r="30" spans="1:11" s="39" customFormat="1" ht="15.75">
      <c r="A30" s="40" t="s">
        <v>19</v>
      </c>
      <c r="B30" s="14" t="s">
        <v>85</v>
      </c>
      <c r="C30" s="34">
        <f t="shared" si="8"/>
        <v>33</v>
      </c>
      <c r="D30" s="35">
        <v>20</v>
      </c>
      <c r="E30" s="36">
        <v>13</v>
      </c>
      <c r="F30" s="37">
        <v>7</v>
      </c>
      <c r="G30" s="35">
        <v>1667</v>
      </c>
      <c r="H30" s="35">
        <v>1577</v>
      </c>
      <c r="I30" s="64">
        <f t="shared" si="10"/>
        <v>83.35</v>
      </c>
      <c r="J30" s="64">
        <f t="shared" si="11"/>
        <v>78.85</v>
      </c>
      <c r="K30" s="38">
        <f t="shared" si="9"/>
        <v>90</v>
      </c>
    </row>
    <row r="31" spans="1:11" s="39" customFormat="1" ht="15.75">
      <c r="A31" s="40" t="s">
        <v>19</v>
      </c>
      <c r="B31" s="14" t="s">
        <v>84</v>
      </c>
      <c r="C31" s="34">
        <f t="shared" si="8"/>
        <v>31</v>
      </c>
      <c r="D31" s="35">
        <v>20</v>
      </c>
      <c r="E31" s="36">
        <v>11</v>
      </c>
      <c r="F31" s="37">
        <v>9</v>
      </c>
      <c r="G31" s="35">
        <f>1584+88</f>
        <v>1672</v>
      </c>
      <c r="H31" s="35">
        <f>1520+75</f>
        <v>1595</v>
      </c>
      <c r="I31" s="64">
        <f t="shared" si="10"/>
        <v>83.6</v>
      </c>
      <c r="J31" s="64">
        <f t="shared" si="11"/>
        <v>79.75</v>
      </c>
      <c r="K31" s="38">
        <f t="shared" si="9"/>
        <v>77</v>
      </c>
    </row>
    <row r="32" spans="1:11" s="39" customFormat="1" ht="15.75">
      <c r="A32" s="40" t="s">
        <v>19</v>
      </c>
      <c r="B32" s="52" t="s">
        <v>131</v>
      </c>
      <c r="C32" s="34">
        <f t="shared" si="8"/>
        <v>30</v>
      </c>
      <c r="D32" s="35">
        <v>20</v>
      </c>
      <c r="E32" s="36">
        <v>10</v>
      </c>
      <c r="F32" s="37">
        <v>10</v>
      </c>
      <c r="G32" s="35">
        <f>1334+77</f>
        <v>1411</v>
      </c>
      <c r="H32" s="35">
        <f>1379+73</f>
        <v>1452</v>
      </c>
      <c r="I32" s="64">
        <f t="shared" si="10"/>
        <v>70.55</v>
      </c>
      <c r="J32" s="64">
        <f t="shared" si="11"/>
        <v>72.6</v>
      </c>
      <c r="K32" s="38">
        <f t="shared" si="9"/>
        <v>-41</v>
      </c>
    </row>
    <row r="33" spans="1:11" s="39" customFormat="1" ht="15.75">
      <c r="A33" s="40" t="s">
        <v>19</v>
      </c>
      <c r="B33" s="14" t="s">
        <v>87</v>
      </c>
      <c r="C33" s="34">
        <f t="shared" si="8"/>
        <v>30</v>
      </c>
      <c r="D33" s="35">
        <v>20</v>
      </c>
      <c r="E33" s="36">
        <v>10</v>
      </c>
      <c r="F33" s="37">
        <v>10</v>
      </c>
      <c r="G33" s="35">
        <f>1442+75</f>
        <v>1517</v>
      </c>
      <c r="H33" s="35">
        <f>1388+88</f>
        <v>1476</v>
      </c>
      <c r="I33" s="64">
        <f t="shared" si="10"/>
        <v>75.85</v>
      </c>
      <c r="J33" s="64">
        <f t="shared" si="11"/>
        <v>73.8</v>
      </c>
      <c r="K33" s="38">
        <f t="shared" si="9"/>
        <v>41</v>
      </c>
    </row>
    <row r="34" spans="1:11" s="39" customFormat="1" ht="15.75">
      <c r="A34" s="40" t="s">
        <v>19</v>
      </c>
      <c r="B34" s="14" t="s">
        <v>132</v>
      </c>
      <c r="C34" s="34">
        <f t="shared" si="8"/>
        <v>29</v>
      </c>
      <c r="D34" s="35">
        <v>20</v>
      </c>
      <c r="E34" s="36">
        <v>9</v>
      </c>
      <c r="F34" s="37">
        <v>11</v>
      </c>
      <c r="G34" s="35">
        <f>1370+80</f>
        <v>1450</v>
      </c>
      <c r="H34" s="35">
        <f>1411+51</f>
        <v>1462</v>
      </c>
      <c r="I34" s="64">
        <f t="shared" si="10"/>
        <v>72.5</v>
      </c>
      <c r="J34" s="64">
        <f t="shared" si="11"/>
        <v>73.1</v>
      </c>
      <c r="K34" s="38">
        <f t="shared" si="9"/>
        <v>-12</v>
      </c>
    </row>
    <row r="35" spans="1:11" s="39" customFormat="1" ht="15.75">
      <c r="A35" s="40" t="s">
        <v>19</v>
      </c>
      <c r="B35" s="52" t="s">
        <v>86</v>
      </c>
      <c r="C35" s="34">
        <f t="shared" si="8"/>
        <v>29</v>
      </c>
      <c r="D35" s="35">
        <v>20</v>
      </c>
      <c r="E35" s="36">
        <v>9</v>
      </c>
      <c r="F35" s="37">
        <v>11</v>
      </c>
      <c r="G35" s="35">
        <f>1540+73</f>
        <v>1613</v>
      </c>
      <c r="H35" s="35">
        <f>1488+77</f>
        <v>1565</v>
      </c>
      <c r="I35" s="64">
        <f t="shared" si="10"/>
        <v>80.65</v>
      </c>
      <c r="J35" s="64">
        <f t="shared" si="11"/>
        <v>78.25</v>
      </c>
      <c r="K35" s="38">
        <f t="shared" si="9"/>
        <v>48</v>
      </c>
    </row>
    <row r="36" spans="1:11" s="39" customFormat="1" ht="15.75">
      <c r="A36" s="40" t="s">
        <v>19</v>
      </c>
      <c r="B36" s="52" t="s">
        <v>88</v>
      </c>
      <c r="C36" s="34">
        <f t="shared" si="8"/>
        <v>28</v>
      </c>
      <c r="D36" s="35">
        <v>20</v>
      </c>
      <c r="E36" s="36">
        <v>8</v>
      </c>
      <c r="F36" s="37">
        <v>12</v>
      </c>
      <c r="G36" s="35">
        <v>1559</v>
      </c>
      <c r="H36" s="35">
        <v>1640</v>
      </c>
      <c r="I36" s="64">
        <f t="shared" si="10"/>
        <v>77.95</v>
      </c>
      <c r="J36" s="64">
        <f t="shared" si="11"/>
        <v>82</v>
      </c>
      <c r="K36" s="38">
        <f t="shared" si="9"/>
        <v>-81</v>
      </c>
    </row>
    <row r="37" spans="1:11" s="39" customFormat="1" ht="16.5">
      <c r="A37" s="40" t="s">
        <v>19</v>
      </c>
      <c r="B37" s="17" t="s">
        <v>23</v>
      </c>
      <c r="C37" s="34">
        <f t="shared" si="8"/>
        <v>26</v>
      </c>
      <c r="D37" s="35">
        <v>20</v>
      </c>
      <c r="E37" s="36">
        <v>6</v>
      </c>
      <c r="F37" s="37">
        <v>14</v>
      </c>
      <c r="G37" s="35">
        <f>1391+83</f>
        <v>1474</v>
      </c>
      <c r="H37" s="35">
        <f>1573+88</f>
        <v>1661</v>
      </c>
      <c r="I37" s="64">
        <f t="shared" si="10"/>
        <v>73.7</v>
      </c>
      <c r="J37" s="64">
        <f t="shared" si="11"/>
        <v>83.05</v>
      </c>
      <c r="K37" s="38">
        <f t="shared" si="9"/>
        <v>-187</v>
      </c>
    </row>
    <row r="38" spans="1:11" s="39" customFormat="1" ht="16.5">
      <c r="A38" s="40" t="s">
        <v>19</v>
      </c>
      <c r="B38" s="17" t="s">
        <v>133</v>
      </c>
      <c r="C38" s="34">
        <f t="shared" si="8"/>
        <v>26</v>
      </c>
      <c r="D38" s="35">
        <v>20</v>
      </c>
      <c r="E38" s="36">
        <v>6</v>
      </c>
      <c r="F38" s="37">
        <v>14</v>
      </c>
      <c r="G38" s="35">
        <f>1225+51</f>
        <v>1276</v>
      </c>
      <c r="H38" s="35">
        <f>1475+80</f>
        <v>1555</v>
      </c>
      <c r="I38" s="64">
        <f t="shared" si="10"/>
        <v>63.8</v>
      </c>
      <c r="J38" s="64">
        <f t="shared" si="11"/>
        <v>77.75</v>
      </c>
      <c r="K38" s="38">
        <f t="shared" si="9"/>
        <v>-279</v>
      </c>
    </row>
    <row r="39" spans="1:13" s="39" customFormat="1" ht="16.5">
      <c r="A39" s="40" t="s">
        <v>19</v>
      </c>
      <c r="B39" s="60" t="s">
        <v>89</v>
      </c>
      <c r="C39" s="34">
        <f t="shared" si="8"/>
        <v>23</v>
      </c>
      <c r="D39" s="35">
        <v>20</v>
      </c>
      <c r="E39" s="36">
        <v>3</v>
      </c>
      <c r="F39" s="37">
        <v>17</v>
      </c>
      <c r="G39" s="35">
        <f>1422+88</f>
        <v>1510</v>
      </c>
      <c r="H39" s="35">
        <f>1749+83</f>
        <v>1832</v>
      </c>
      <c r="I39" s="64">
        <f t="shared" si="10"/>
        <v>75.5</v>
      </c>
      <c r="J39" s="64">
        <f t="shared" si="11"/>
        <v>91.6</v>
      </c>
      <c r="K39" s="38">
        <f t="shared" si="9"/>
        <v>-322</v>
      </c>
      <c r="L39" s="41"/>
      <c r="M39" s="42">
        <f>SUM(I28:I39)/12</f>
        <v>77.54583333333333</v>
      </c>
    </row>
    <row r="40" spans="1:11" ht="16.5" customHeight="1">
      <c r="A40" s="40"/>
      <c r="C40" s="13"/>
      <c r="D40" s="33"/>
      <c r="E40" s="13"/>
      <c r="F40" s="13"/>
      <c r="G40" s="33"/>
      <c r="H40" s="33"/>
      <c r="I40" s="43"/>
      <c r="J40" s="43"/>
      <c r="K40" s="44"/>
    </row>
    <row r="41" spans="1:11" s="39" customFormat="1" ht="15.75">
      <c r="A41" s="33" t="s">
        <v>22</v>
      </c>
      <c r="B41" s="16" t="s">
        <v>28</v>
      </c>
      <c r="C41" s="34">
        <f>D41+E41</f>
        <v>37</v>
      </c>
      <c r="D41" s="35">
        <v>20</v>
      </c>
      <c r="E41" s="36">
        <v>17</v>
      </c>
      <c r="F41" s="37">
        <v>3</v>
      </c>
      <c r="G41" s="35">
        <f>1473+84</f>
        <v>1557</v>
      </c>
      <c r="H41" s="35">
        <f>1210+77</f>
        <v>1287</v>
      </c>
      <c r="I41" s="64">
        <f>G41/D41</f>
        <v>77.85</v>
      </c>
      <c r="J41" s="64">
        <f>H41/D41</f>
        <v>64.35</v>
      </c>
      <c r="K41" s="38">
        <f aca="true" t="shared" si="12" ref="K41:K52">G41-H41</f>
        <v>270</v>
      </c>
    </row>
    <row r="42" spans="1:11" s="39" customFormat="1" ht="15.75">
      <c r="A42" s="40" t="s">
        <v>22</v>
      </c>
      <c r="B42" s="14" t="s">
        <v>57</v>
      </c>
      <c r="C42" s="34">
        <f>D42+E42</f>
        <v>35</v>
      </c>
      <c r="D42" s="35">
        <v>20</v>
      </c>
      <c r="E42" s="36">
        <v>15</v>
      </c>
      <c r="F42" s="37">
        <v>5</v>
      </c>
      <c r="G42" s="35">
        <f>1534+72</f>
        <v>1606</v>
      </c>
      <c r="H42" s="35">
        <f>1364+66</f>
        <v>1430</v>
      </c>
      <c r="I42" s="64">
        <f aca="true" t="shared" si="13" ref="I42:I52">G42/D42</f>
        <v>80.3</v>
      </c>
      <c r="J42" s="64">
        <f aca="true" t="shared" si="14" ref="J42:J52">H42/D42</f>
        <v>71.5</v>
      </c>
      <c r="K42" s="38">
        <f t="shared" si="12"/>
        <v>176</v>
      </c>
    </row>
    <row r="43" spans="1:11" s="39" customFormat="1" ht="15.75">
      <c r="A43" s="40" t="s">
        <v>22</v>
      </c>
      <c r="B43" s="12" t="s">
        <v>163</v>
      </c>
      <c r="C43" s="34">
        <f>D43+E43</f>
        <v>33</v>
      </c>
      <c r="D43" s="35">
        <v>20</v>
      </c>
      <c r="E43" s="36">
        <v>13</v>
      </c>
      <c r="F43" s="37">
        <v>7</v>
      </c>
      <c r="G43" s="35">
        <f>1545+66</f>
        <v>1611</v>
      </c>
      <c r="H43" s="35">
        <f>1484+72</f>
        <v>1556</v>
      </c>
      <c r="I43" s="64">
        <f t="shared" si="13"/>
        <v>80.55</v>
      </c>
      <c r="J43" s="64">
        <f t="shared" si="14"/>
        <v>77.8</v>
      </c>
      <c r="K43" s="38">
        <f t="shared" si="12"/>
        <v>55</v>
      </c>
    </row>
    <row r="44" spans="1:11" s="39" customFormat="1" ht="15.75">
      <c r="A44" s="40" t="s">
        <v>22</v>
      </c>
      <c r="B44" s="14" t="s">
        <v>164</v>
      </c>
      <c r="C44" s="34">
        <f>D44+E44</f>
        <v>33</v>
      </c>
      <c r="D44" s="35">
        <v>20</v>
      </c>
      <c r="E44" s="36">
        <v>13</v>
      </c>
      <c r="F44" s="37">
        <v>7</v>
      </c>
      <c r="G44" s="35">
        <f>1669+77</f>
        <v>1746</v>
      </c>
      <c r="H44" s="35">
        <f>1565+84</f>
        <v>1649</v>
      </c>
      <c r="I44" s="64">
        <f t="shared" si="13"/>
        <v>87.3</v>
      </c>
      <c r="J44" s="64">
        <f t="shared" si="14"/>
        <v>82.45</v>
      </c>
      <c r="K44" s="38">
        <f t="shared" si="12"/>
        <v>97</v>
      </c>
    </row>
    <row r="45" spans="1:11" s="39" customFormat="1" ht="15.75">
      <c r="A45" s="40" t="s">
        <v>22</v>
      </c>
      <c r="B45" s="52" t="s">
        <v>77</v>
      </c>
      <c r="C45" s="34">
        <f>D45+E45</f>
        <v>31</v>
      </c>
      <c r="D45" s="35">
        <v>20</v>
      </c>
      <c r="E45" s="36">
        <v>11</v>
      </c>
      <c r="F45" s="37">
        <v>9</v>
      </c>
      <c r="G45" s="35">
        <f>1462+87</f>
        <v>1549</v>
      </c>
      <c r="H45" s="35">
        <f>1371+88</f>
        <v>1459</v>
      </c>
      <c r="I45" s="64">
        <f t="shared" si="13"/>
        <v>77.45</v>
      </c>
      <c r="J45" s="64">
        <f t="shared" si="14"/>
        <v>72.95</v>
      </c>
      <c r="K45" s="38">
        <f t="shared" si="12"/>
        <v>90</v>
      </c>
    </row>
    <row r="46" spans="1:11" s="39" customFormat="1" ht="15.75">
      <c r="A46" s="40" t="s">
        <v>22</v>
      </c>
      <c r="B46" s="14" t="s">
        <v>78</v>
      </c>
      <c r="C46" s="34">
        <f aca="true" t="shared" si="15" ref="C46:C52">D46+E46</f>
        <v>31</v>
      </c>
      <c r="D46" s="35">
        <v>20</v>
      </c>
      <c r="E46" s="36">
        <v>11</v>
      </c>
      <c r="F46" s="37">
        <v>9</v>
      </c>
      <c r="G46" s="35">
        <v>1579</v>
      </c>
      <c r="H46" s="35">
        <v>1568</v>
      </c>
      <c r="I46" s="64">
        <f t="shared" si="13"/>
        <v>78.95</v>
      </c>
      <c r="J46" s="64">
        <f t="shared" si="14"/>
        <v>78.4</v>
      </c>
      <c r="K46" s="38">
        <f t="shared" si="12"/>
        <v>11</v>
      </c>
    </row>
    <row r="47" spans="1:11" s="39" customFormat="1" ht="15.75">
      <c r="A47" s="40" t="s">
        <v>22</v>
      </c>
      <c r="B47" s="53" t="s">
        <v>76</v>
      </c>
      <c r="C47" s="34">
        <f t="shared" si="15"/>
        <v>29</v>
      </c>
      <c r="D47" s="35">
        <v>20</v>
      </c>
      <c r="E47" s="36">
        <v>9</v>
      </c>
      <c r="F47" s="37">
        <v>11</v>
      </c>
      <c r="G47" s="35">
        <f>1477+74</f>
        <v>1551</v>
      </c>
      <c r="H47" s="35">
        <f>1403+83</f>
        <v>1486</v>
      </c>
      <c r="I47" s="64">
        <f t="shared" si="13"/>
        <v>77.55</v>
      </c>
      <c r="J47" s="64">
        <f t="shared" si="14"/>
        <v>74.3</v>
      </c>
      <c r="K47" s="38">
        <f t="shared" si="12"/>
        <v>65</v>
      </c>
    </row>
    <row r="48" spans="1:11" s="39" customFormat="1" ht="15.75">
      <c r="A48" s="40" t="s">
        <v>22</v>
      </c>
      <c r="B48" s="52" t="s">
        <v>80</v>
      </c>
      <c r="C48" s="34">
        <f t="shared" si="15"/>
        <v>28</v>
      </c>
      <c r="D48" s="35">
        <v>20</v>
      </c>
      <c r="E48" s="36">
        <v>8</v>
      </c>
      <c r="F48" s="37">
        <v>12</v>
      </c>
      <c r="G48" s="35">
        <f>1418+78</f>
        <v>1496</v>
      </c>
      <c r="H48" s="35">
        <f>1512+62</f>
        <v>1574</v>
      </c>
      <c r="I48" s="64">
        <f t="shared" si="13"/>
        <v>74.8</v>
      </c>
      <c r="J48" s="64">
        <f t="shared" si="14"/>
        <v>78.7</v>
      </c>
      <c r="K48" s="38">
        <f t="shared" si="12"/>
        <v>-78</v>
      </c>
    </row>
    <row r="49" spans="1:11" s="39" customFormat="1" ht="15.75">
      <c r="A49" s="40" t="s">
        <v>22</v>
      </c>
      <c r="B49" s="52" t="s">
        <v>82</v>
      </c>
      <c r="C49" s="34">
        <f t="shared" si="15"/>
        <v>28</v>
      </c>
      <c r="D49" s="35">
        <v>20</v>
      </c>
      <c r="E49" s="36">
        <v>8</v>
      </c>
      <c r="F49" s="37">
        <v>12</v>
      </c>
      <c r="G49" s="35">
        <v>1540</v>
      </c>
      <c r="H49" s="35">
        <v>1628</v>
      </c>
      <c r="I49" s="64">
        <f t="shared" si="13"/>
        <v>77</v>
      </c>
      <c r="J49" s="64">
        <f t="shared" si="14"/>
        <v>81.4</v>
      </c>
      <c r="K49" s="38">
        <f t="shared" si="12"/>
        <v>-88</v>
      </c>
    </row>
    <row r="50" spans="1:11" s="39" customFormat="1" ht="16.5">
      <c r="A50" s="40" t="s">
        <v>22</v>
      </c>
      <c r="B50" s="17" t="s">
        <v>79</v>
      </c>
      <c r="C50" s="34">
        <f t="shared" si="15"/>
        <v>27</v>
      </c>
      <c r="D50" s="35">
        <v>20</v>
      </c>
      <c r="E50" s="36">
        <v>7</v>
      </c>
      <c r="F50" s="37">
        <v>13</v>
      </c>
      <c r="G50" s="35">
        <f>1544+83</f>
        <v>1627</v>
      </c>
      <c r="H50" s="35">
        <f>1662+74</f>
        <v>1736</v>
      </c>
      <c r="I50" s="64">
        <f t="shared" si="13"/>
        <v>81.35</v>
      </c>
      <c r="J50" s="64">
        <f t="shared" si="14"/>
        <v>86.8</v>
      </c>
      <c r="K50" s="38">
        <f t="shared" si="12"/>
        <v>-109</v>
      </c>
    </row>
    <row r="51" spans="1:11" s="39" customFormat="1" ht="16.5">
      <c r="A51" s="40" t="s">
        <v>22</v>
      </c>
      <c r="B51" s="17" t="s">
        <v>81</v>
      </c>
      <c r="C51" s="34">
        <f t="shared" si="15"/>
        <v>27</v>
      </c>
      <c r="D51" s="35">
        <v>20</v>
      </c>
      <c r="E51" s="36">
        <v>7</v>
      </c>
      <c r="F51" s="37">
        <v>13</v>
      </c>
      <c r="G51" s="35">
        <f>1348+88</f>
        <v>1436</v>
      </c>
      <c r="H51" s="35">
        <f>1461+87</f>
        <v>1548</v>
      </c>
      <c r="I51" s="64">
        <f t="shared" si="13"/>
        <v>71.8</v>
      </c>
      <c r="J51" s="64">
        <f t="shared" si="14"/>
        <v>77.4</v>
      </c>
      <c r="K51" s="38">
        <f t="shared" si="12"/>
        <v>-112</v>
      </c>
    </row>
    <row r="52" spans="1:13" s="39" customFormat="1" ht="16.5">
      <c r="A52" s="40" t="s">
        <v>22</v>
      </c>
      <c r="B52" s="59" t="s">
        <v>165</v>
      </c>
      <c r="C52" s="34">
        <f t="shared" si="15"/>
        <v>21</v>
      </c>
      <c r="D52" s="35">
        <v>20</v>
      </c>
      <c r="E52" s="36">
        <v>1</v>
      </c>
      <c r="F52" s="37">
        <v>19</v>
      </c>
      <c r="G52" s="35">
        <f>1291+62</f>
        <v>1353</v>
      </c>
      <c r="H52" s="35">
        <f>1652+78</f>
        <v>1730</v>
      </c>
      <c r="I52" s="64">
        <f t="shared" si="13"/>
        <v>67.65</v>
      </c>
      <c r="J52" s="64">
        <f t="shared" si="14"/>
        <v>86.5</v>
      </c>
      <c r="K52" s="38">
        <f t="shared" si="12"/>
        <v>-377</v>
      </c>
      <c r="L52" s="41"/>
      <c r="M52" s="42">
        <f>SUM(I41:I52)/12</f>
        <v>77.71249999999999</v>
      </c>
    </row>
    <row r="53" spans="1:11" ht="19.5" customHeight="1">
      <c r="A53" s="40"/>
      <c r="C53" s="13"/>
      <c r="D53" s="33"/>
      <c r="E53" s="13"/>
      <c r="F53" s="13"/>
      <c r="G53" s="33"/>
      <c r="H53" s="33"/>
      <c r="I53" s="43"/>
      <c r="J53" s="43"/>
      <c r="K53" s="44"/>
    </row>
    <row r="54" spans="1:11" s="39" customFormat="1" ht="15.75">
      <c r="A54" s="33" t="s">
        <v>26</v>
      </c>
      <c r="B54" s="16" t="s">
        <v>56</v>
      </c>
      <c r="C54" s="34">
        <f aca="true" t="shared" si="16" ref="C54:C65">D54+E54</f>
        <v>40</v>
      </c>
      <c r="D54" s="35">
        <v>20</v>
      </c>
      <c r="E54" s="36">
        <v>20</v>
      </c>
      <c r="F54" s="37">
        <v>0</v>
      </c>
      <c r="G54" s="35">
        <f>1525+90</f>
        <v>1615</v>
      </c>
      <c r="H54" s="35">
        <f>1275+65</f>
        <v>1340</v>
      </c>
      <c r="I54" s="64">
        <f>G54/D54</f>
        <v>80.75</v>
      </c>
      <c r="J54" s="64">
        <f>H54/D54</f>
        <v>67</v>
      </c>
      <c r="K54" s="38">
        <f aca="true" t="shared" si="17" ref="K54:K65">G54-H54</f>
        <v>275</v>
      </c>
    </row>
    <row r="55" spans="1:11" s="39" customFormat="1" ht="15.75">
      <c r="A55" s="40" t="s">
        <v>26</v>
      </c>
      <c r="B55" s="14" t="s">
        <v>31</v>
      </c>
      <c r="C55" s="34">
        <f t="shared" si="16"/>
        <v>37</v>
      </c>
      <c r="D55" s="35">
        <v>20</v>
      </c>
      <c r="E55" s="36">
        <v>17</v>
      </c>
      <c r="F55" s="37">
        <v>3</v>
      </c>
      <c r="G55" s="35">
        <f>1530+83</f>
        <v>1613</v>
      </c>
      <c r="H55" s="35">
        <f>1323+72</f>
        <v>1395</v>
      </c>
      <c r="I55" s="64">
        <f aca="true" t="shared" si="18" ref="I55:I65">G55/D55</f>
        <v>80.65</v>
      </c>
      <c r="J55" s="64">
        <f aca="true" t="shared" si="19" ref="J55:J65">H55/D55</f>
        <v>69.75</v>
      </c>
      <c r="K55" s="38">
        <f t="shared" si="17"/>
        <v>218</v>
      </c>
    </row>
    <row r="56" spans="1:11" s="39" customFormat="1" ht="15.75">
      <c r="A56" s="40" t="s">
        <v>26</v>
      </c>
      <c r="B56" s="56" t="s">
        <v>162</v>
      </c>
      <c r="C56" s="34">
        <f t="shared" si="16"/>
        <v>32</v>
      </c>
      <c r="D56" s="35">
        <v>20</v>
      </c>
      <c r="E56" s="36">
        <v>12</v>
      </c>
      <c r="F56" s="37">
        <v>8</v>
      </c>
      <c r="G56" s="35">
        <f>1606+72</f>
        <v>1678</v>
      </c>
      <c r="H56" s="35">
        <f>1481+83</f>
        <v>1564</v>
      </c>
      <c r="I56" s="64">
        <f t="shared" si="18"/>
        <v>83.9</v>
      </c>
      <c r="J56" s="64">
        <f t="shared" si="19"/>
        <v>78.2</v>
      </c>
      <c r="K56" s="38">
        <f t="shared" si="17"/>
        <v>114</v>
      </c>
    </row>
    <row r="57" spans="1:11" s="39" customFormat="1" ht="15.75">
      <c r="A57" s="40" t="s">
        <v>26</v>
      </c>
      <c r="B57" s="14" t="s">
        <v>25</v>
      </c>
      <c r="C57" s="34">
        <f t="shared" si="16"/>
        <v>32</v>
      </c>
      <c r="D57" s="35">
        <v>20</v>
      </c>
      <c r="E57" s="36">
        <v>12</v>
      </c>
      <c r="F57" s="37">
        <v>8</v>
      </c>
      <c r="G57" s="35">
        <f>1675+98</f>
        <v>1773</v>
      </c>
      <c r="H57" s="35">
        <f>1611+65</f>
        <v>1676</v>
      </c>
      <c r="I57" s="64">
        <f t="shared" si="18"/>
        <v>88.65</v>
      </c>
      <c r="J57" s="64">
        <f t="shared" si="19"/>
        <v>83.8</v>
      </c>
      <c r="K57" s="38">
        <f t="shared" si="17"/>
        <v>97</v>
      </c>
    </row>
    <row r="58" spans="1:11" s="39" customFormat="1" ht="15.75">
      <c r="A58" s="40" t="s">
        <v>26</v>
      </c>
      <c r="B58" s="14" t="s">
        <v>73</v>
      </c>
      <c r="C58" s="34">
        <f t="shared" si="16"/>
        <v>31</v>
      </c>
      <c r="D58" s="35">
        <v>20</v>
      </c>
      <c r="E58" s="36">
        <v>11</v>
      </c>
      <c r="F58" s="37">
        <v>9</v>
      </c>
      <c r="G58" s="35">
        <f>1603+77</f>
        <v>1680</v>
      </c>
      <c r="H58" s="35">
        <f>1488+97</f>
        <v>1585</v>
      </c>
      <c r="I58" s="64">
        <f t="shared" si="18"/>
        <v>84</v>
      </c>
      <c r="J58" s="64">
        <f t="shared" si="19"/>
        <v>79.25</v>
      </c>
      <c r="K58" s="38">
        <f t="shared" si="17"/>
        <v>95</v>
      </c>
    </row>
    <row r="59" spans="1:11" s="39" customFormat="1" ht="15.75">
      <c r="A59" s="40" t="s">
        <v>26</v>
      </c>
      <c r="B59" s="14" t="s">
        <v>32</v>
      </c>
      <c r="C59" s="34">
        <f t="shared" si="16"/>
        <v>31</v>
      </c>
      <c r="D59" s="35">
        <v>20</v>
      </c>
      <c r="E59" s="36">
        <v>11</v>
      </c>
      <c r="F59" s="37">
        <v>9</v>
      </c>
      <c r="G59" s="35">
        <f>1622+75</f>
        <v>1697</v>
      </c>
      <c r="H59" s="35">
        <f>1627+70</f>
        <v>1697</v>
      </c>
      <c r="I59" s="64">
        <f t="shared" si="18"/>
        <v>84.85</v>
      </c>
      <c r="J59" s="64">
        <f t="shared" si="19"/>
        <v>84.85</v>
      </c>
      <c r="K59" s="38">
        <f t="shared" si="17"/>
        <v>0</v>
      </c>
    </row>
    <row r="60" spans="1:11" s="39" customFormat="1" ht="15.75">
      <c r="A60" s="40" t="s">
        <v>26</v>
      </c>
      <c r="B60" s="12" t="s">
        <v>20</v>
      </c>
      <c r="C60" s="34">
        <f t="shared" si="16"/>
        <v>29</v>
      </c>
      <c r="D60" s="35">
        <v>20</v>
      </c>
      <c r="E60" s="36">
        <v>9</v>
      </c>
      <c r="F60" s="37">
        <v>11</v>
      </c>
      <c r="G60" s="35">
        <f>1449+97</f>
        <v>1546</v>
      </c>
      <c r="H60" s="35">
        <f>1441+77</f>
        <v>1518</v>
      </c>
      <c r="I60" s="64">
        <f t="shared" si="18"/>
        <v>77.3</v>
      </c>
      <c r="J60" s="64">
        <f t="shared" si="19"/>
        <v>75.9</v>
      </c>
      <c r="K60" s="38">
        <f t="shared" si="17"/>
        <v>28</v>
      </c>
    </row>
    <row r="61" spans="1:11" s="39" customFormat="1" ht="15.75">
      <c r="A61" s="40" t="s">
        <v>26</v>
      </c>
      <c r="B61" s="14" t="s">
        <v>21</v>
      </c>
      <c r="C61" s="34">
        <f t="shared" si="16"/>
        <v>29</v>
      </c>
      <c r="D61" s="35">
        <v>20</v>
      </c>
      <c r="E61" s="36">
        <v>9</v>
      </c>
      <c r="F61" s="37">
        <v>11</v>
      </c>
      <c r="G61" s="35">
        <f>1485+65</f>
        <v>1550</v>
      </c>
      <c r="H61" s="35">
        <f>1492+68</f>
        <v>1560</v>
      </c>
      <c r="I61" s="64">
        <f t="shared" si="18"/>
        <v>77.5</v>
      </c>
      <c r="J61" s="64">
        <f t="shared" si="19"/>
        <v>78</v>
      </c>
      <c r="K61" s="38">
        <f t="shared" si="17"/>
        <v>-10</v>
      </c>
    </row>
    <row r="62" spans="1:11" s="39" customFormat="1" ht="15.75">
      <c r="A62" s="40" t="s">
        <v>26</v>
      </c>
      <c r="B62" s="14" t="s">
        <v>33</v>
      </c>
      <c r="C62" s="34">
        <f t="shared" si="16"/>
        <v>26</v>
      </c>
      <c r="D62" s="35">
        <v>20</v>
      </c>
      <c r="E62" s="36">
        <v>6</v>
      </c>
      <c r="F62" s="37">
        <v>14</v>
      </c>
      <c r="G62" s="35">
        <f>1410+70</f>
        <v>1480</v>
      </c>
      <c r="H62" s="35">
        <f>1612+75</f>
        <v>1687</v>
      </c>
      <c r="I62" s="64">
        <f t="shared" si="18"/>
        <v>74</v>
      </c>
      <c r="J62" s="64">
        <f t="shared" si="19"/>
        <v>84.35</v>
      </c>
      <c r="K62" s="38">
        <f t="shared" si="17"/>
        <v>-207</v>
      </c>
    </row>
    <row r="63" spans="1:11" s="39" customFormat="1" ht="16.5">
      <c r="A63" s="40" t="s">
        <v>26</v>
      </c>
      <c r="B63" s="17" t="s">
        <v>74</v>
      </c>
      <c r="C63" s="34">
        <f t="shared" si="16"/>
        <v>26</v>
      </c>
      <c r="D63" s="35">
        <v>20</v>
      </c>
      <c r="E63" s="36">
        <v>6</v>
      </c>
      <c r="F63" s="37">
        <v>14</v>
      </c>
      <c r="G63" s="35">
        <f>1387+65</f>
        <v>1452</v>
      </c>
      <c r="H63" s="35">
        <v>1599</v>
      </c>
      <c r="I63" s="64">
        <f t="shared" si="18"/>
        <v>72.6</v>
      </c>
      <c r="J63" s="64">
        <f t="shared" si="19"/>
        <v>79.95</v>
      </c>
      <c r="K63" s="38">
        <f t="shared" si="17"/>
        <v>-147</v>
      </c>
    </row>
    <row r="64" spans="1:12" s="39" customFormat="1" ht="16.5">
      <c r="A64" s="40" t="s">
        <v>26</v>
      </c>
      <c r="B64" s="17" t="s">
        <v>24</v>
      </c>
      <c r="C64" s="34">
        <f t="shared" si="16"/>
        <v>24</v>
      </c>
      <c r="D64" s="35">
        <v>20</v>
      </c>
      <c r="E64" s="36">
        <v>4</v>
      </c>
      <c r="F64" s="37">
        <v>16</v>
      </c>
      <c r="G64" s="35">
        <f>1269+68</f>
        <v>1337</v>
      </c>
      <c r="H64" s="35">
        <f>1448+65</f>
        <v>1513</v>
      </c>
      <c r="I64" s="64">
        <f t="shared" si="18"/>
        <v>66.85</v>
      </c>
      <c r="J64" s="64">
        <f t="shared" si="19"/>
        <v>75.65</v>
      </c>
      <c r="K64" s="38">
        <f t="shared" si="17"/>
        <v>-176</v>
      </c>
      <c r="L64" s="41"/>
    </row>
    <row r="65" spans="1:13" s="39" customFormat="1" ht="16.5">
      <c r="A65" s="40" t="s">
        <v>26</v>
      </c>
      <c r="B65" s="59" t="s">
        <v>75</v>
      </c>
      <c r="C65" s="34">
        <f t="shared" si="16"/>
        <v>23</v>
      </c>
      <c r="D65" s="35">
        <v>20</v>
      </c>
      <c r="E65" s="36">
        <v>3</v>
      </c>
      <c r="F65" s="37">
        <v>17</v>
      </c>
      <c r="G65" s="35">
        <f>1323+65</f>
        <v>1388</v>
      </c>
      <c r="H65" s="35">
        <f>1577+98</f>
        <v>1675</v>
      </c>
      <c r="I65" s="64">
        <f t="shared" si="18"/>
        <v>69.4</v>
      </c>
      <c r="J65" s="64">
        <f t="shared" si="19"/>
        <v>83.75</v>
      </c>
      <c r="K65" s="38">
        <f t="shared" si="17"/>
        <v>-287</v>
      </c>
      <c r="L65" s="41"/>
      <c r="M65" s="42">
        <f>SUM(I54:I65)/12</f>
        <v>78.37083333333334</v>
      </c>
    </row>
    <row r="66" spans="1:11" ht="23.25" customHeight="1">
      <c r="A66" s="40"/>
      <c r="C66" s="13"/>
      <c r="D66" s="33"/>
      <c r="E66" s="13"/>
      <c r="F66" s="13"/>
      <c r="G66" s="33"/>
      <c r="H66" s="33"/>
      <c r="I66" s="43"/>
      <c r="J66" s="43"/>
      <c r="K66" s="44"/>
    </row>
    <row r="67" spans="1:11" s="39" customFormat="1" ht="15.75">
      <c r="A67" s="33" t="s">
        <v>30</v>
      </c>
      <c r="B67" s="16" t="s">
        <v>158</v>
      </c>
      <c r="C67" s="34">
        <f aca="true" t="shared" si="20" ref="C67:C78">D67+E67</f>
        <v>36</v>
      </c>
      <c r="D67" s="35">
        <v>20</v>
      </c>
      <c r="E67" s="36">
        <v>16</v>
      </c>
      <c r="F67" s="37">
        <v>4</v>
      </c>
      <c r="G67" s="35">
        <f>1607+94</f>
        <v>1701</v>
      </c>
      <c r="H67" s="35">
        <f>1420+66</f>
        <v>1486</v>
      </c>
      <c r="I67" s="64">
        <f>G67/D67</f>
        <v>85.05</v>
      </c>
      <c r="J67" s="64">
        <f>H67/D67</f>
        <v>74.3</v>
      </c>
      <c r="K67" s="38">
        <f aca="true" t="shared" si="21" ref="K67:K78">G67-H67</f>
        <v>215</v>
      </c>
    </row>
    <row r="68" spans="1:11" s="39" customFormat="1" ht="15.75">
      <c r="A68" s="40" t="s">
        <v>30</v>
      </c>
      <c r="B68" s="14" t="s">
        <v>60</v>
      </c>
      <c r="C68" s="34">
        <f t="shared" si="20"/>
        <v>34</v>
      </c>
      <c r="D68" s="35">
        <v>20</v>
      </c>
      <c r="E68" s="36">
        <v>14</v>
      </c>
      <c r="F68" s="37">
        <v>6</v>
      </c>
      <c r="G68" s="35">
        <f>1667+67</f>
        <v>1734</v>
      </c>
      <c r="H68" s="35">
        <f>1530+62</f>
        <v>1592</v>
      </c>
      <c r="I68" s="64">
        <f aca="true" t="shared" si="22" ref="I68:I78">G68/D68</f>
        <v>86.7</v>
      </c>
      <c r="J68" s="64">
        <f aca="true" t="shared" si="23" ref="J68:J78">H68/D68</f>
        <v>79.6</v>
      </c>
      <c r="K68" s="38">
        <f t="shared" si="21"/>
        <v>142</v>
      </c>
    </row>
    <row r="69" spans="1:11" s="39" customFormat="1" ht="15.75">
      <c r="A69" s="40" t="s">
        <v>30</v>
      </c>
      <c r="B69" s="53" t="s">
        <v>159</v>
      </c>
      <c r="C69" s="34">
        <f t="shared" si="20"/>
        <v>33</v>
      </c>
      <c r="D69" s="35">
        <v>20</v>
      </c>
      <c r="E69" s="36">
        <v>13</v>
      </c>
      <c r="F69" s="37">
        <v>7</v>
      </c>
      <c r="G69" s="35">
        <f>1526+79</f>
        <v>1605</v>
      </c>
      <c r="H69" s="35">
        <f>1354+61</f>
        <v>1415</v>
      </c>
      <c r="I69" s="64">
        <f t="shared" si="22"/>
        <v>80.25</v>
      </c>
      <c r="J69" s="64">
        <f t="shared" si="23"/>
        <v>70.75</v>
      </c>
      <c r="K69" s="38">
        <f t="shared" si="21"/>
        <v>190</v>
      </c>
    </row>
    <row r="70" spans="1:11" s="39" customFormat="1" ht="15.75">
      <c r="A70" s="40" t="s">
        <v>30</v>
      </c>
      <c r="B70" s="14" t="s">
        <v>58</v>
      </c>
      <c r="C70" s="34">
        <f t="shared" si="20"/>
        <v>33</v>
      </c>
      <c r="D70" s="35">
        <v>20</v>
      </c>
      <c r="E70" s="36">
        <v>13</v>
      </c>
      <c r="F70" s="37">
        <v>7</v>
      </c>
      <c r="G70" s="35">
        <f>1499+101</f>
        <v>1600</v>
      </c>
      <c r="H70" s="35">
        <f>1316+71</f>
        <v>1387</v>
      </c>
      <c r="I70" s="64">
        <f t="shared" si="22"/>
        <v>80</v>
      </c>
      <c r="J70" s="64">
        <f t="shared" si="23"/>
        <v>69.35</v>
      </c>
      <c r="K70" s="38">
        <f t="shared" si="21"/>
        <v>213</v>
      </c>
    </row>
    <row r="71" spans="1:11" s="39" customFormat="1" ht="15.75">
      <c r="A71" s="40" t="s">
        <v>30</v>
      </c>
      <c r="B71" s="14" t="s">
        <v>61</v>
      </c>
      <c r="C71" s="34">
        <f t="shared" si="20"/>
        <v>33</v>
      </c>
      <c r="D71" s="35">
        <v>20</v>
      </c>
      <c r="E71" s="36">
        <v>13</v>
      </c>
      <c r="F71" s="37">
        <v>7</v>
      </c>
      <c r="G71" s="35">
        <f>1397+93</f>
        <v>1490</v>
      </c>
      <c r="H71" s="35">
        <f>1283+72</f>
        <v>1355</v>
      </c>
      <c r="I71" s="64">
        <f t="shared" si="22"/>
        <v>74.5</v>
      </c>
      <c r="J71" s="64">
        <f t="shared" si="23"/>
        <v>67.75</v>
      </c>
      <c r="K71" s="38">
        <f t="shared" si="21"/>
        <v>135</v>
      </c>
    </row>
    <row r="72" spans="1:11" s="39" customFormat="1" ht="15.75">
      <c r="A72" s="40" t="s">
        <v>30</v>
      </c>
      <c r="B72" s="12" t="s">
        <v>160</v>
      </c>
      <c r="C72" s="34">
        <f t="shared" si="20"/>
        <v>31</v>
      </c>
      <c r="D72" s="35">
        <v>20</v>
      </c>
      <c r="E72" s="36">
        <v>11</v>
      </c>
      <c r="F72" s="37">
        <v>9</v>
      </c>
      <c r="G72" s="35">
        <f>1483+72</f>
        <v>1555</v>
      </c>
      <c r="H72" s="35">
        <f>1516+93</f>
        <v>1609</v>
      </c>
      <c r="I72" s="64">
        <f t="shared" si="22"/>
        <v>77.75</v>
      </c>
      <c r="J72" s="64">
        <f t="shared" si="23"/>
        <v>80.45</v>
      </c>
      <c r="K72" s="38">
        <f t="shared" si="21"/>
        <v>-54</v>
      </c>
    </row>
    <row r="73" spans="1:11" s="39" customFormat="1" ht="15.75">
      <c r="A73" s="40" t="s">
        <v>30</v>
      </c>
      <c r="B73" s="14" t="s">
        <v>70</v>
      </c>
      <c r="C73" s="34">
        <f t="shared" si="20"/>
        <v>31</v>
      </c>
      <c r="D73" s="35">
        <v>20</v>
      </c>
      <c r="E73" s="36">
        <v>11</v>
      </c>
      <c r="F73" s="37">
        <v>9</v>
      </c>
      <c r="G73" s="35">
        <v>1587</v>
      </c>
      <c r="H73" s="35">
        <f>1537+78</f>
        <v>1615</v>
      </c>
      <c r="I73" s="64">
        <f t="shared" si="22"/>
        <v>79.35</v>
      </c>
      <c r="J73" s="64">
        <f t="shared" si="23"/>
        <v>80.75</v>
      </c>
      <c r="K73" s="38">
        <f t="shared" si="21"/>
        <v>-28</v>
      </c>
    </row>
    <row r="74" spans="1:11" s="39" customFormat="1" ht="15.75">
      <c r="A74" s="40" t="s">
        <v>30</v>
      </c>
      <c r="B74" s="14" t="s">
        <v>29</v>
      </c>
      <c r="C74" s="34">
        <f t="shared" si="20"/>
        <v>28</v>
      </c>
      <c r="D74" s="35">
        <v>20</v>
      </c>
      <c r="E74" s="36">
        <v>8</v>
      </c>
      <c r="F74" s="37">
        <v>12</v>
      </c>
      <c r="G74" s="35">
        <f>1308+61</f>
        <v>1369</v>
      </c>
      <c r="H74" s="35">
        <f>1347+79</f>
        <v>1426</v>
      </c>
      <c r="I74" s="64">
        <f t="shared" si="22"/>
        <v>68.45</v>
      </c>
      <c r="J74" s="64">
        <f t="shared" si="23"/>
        <v>71.3</v>
      </c>
      <c r="K74" s="38">
        <f t="shared" si="21"/>
        <v>-57</v>
      </c>
    </row>
    <row r="75" spans="1:12" s="39" customFormat="1" ht="15.75">
      <c r="A75" s="40" t="s">
        <v>30</v>
      </c>
      <c r="B75" s="14" t="s">
        <v>69</v>
      </c>
      <c r="C75" s="34">
        <f t="shared" si="20"/>
        <v>27</v>
      </c>
      <c r="D75" s="35">
        <v>20</v>
      </c>
      <c r="E75" s="36">
        <v>7</v>
      </c>
      <c r="F75" s="37">
        <v>13</v>
      </c>
      <c r="G75" s="35">
        <f>1390+66</f>
        <v>1456</v>
      </c>
      <c r="H75" s="35">
        <f>1483+94</f>
        <v>1577</v>
      </c>
      <c r="I75" s="64">
        <f t="shared" si="22"/>
        <v>72.8</v>
      </c>
      <c r="J75" s="64">
        <f t="shared" si="23"/>
        <v>78.85</v>
      </c>
      <c r="K75" s="38">
        <f t="shared" si="21"/>
        <v>-121</v>
      </c>
      <c r="L75" s="41"/>
    </row>
    <row r="76" spans="1:11" s="39" customFormat="1" ht="16.5">
      <c r="A76" s="40" t="s">
        <v>30</v>
      </c>
      <c r="B76" s="58" t="s">
        <v>72</v>
      </c>
      <c r="C76" s="34">
        <f t="shared" si="20"/>
        <v>25</v>
      </c>
      <c r="D76" s="35">
        <v>20</v>
      </c>
      <c r="E76" s="36">
        <v>5</v>
      </c>
      <c r="F76" s="37">
        <v>15</v>
      </c>
      <c r="G76" s="35">
        <f>1387+71</f>
        <v>1458</v>
      </c>
      <c r="H76" s="35">
        <f>1557+101</f>
        <v>1658</v>
      </c>
      <c r="I76" s="64">
        <f t="shared" si="22"/>
        <v>72.9</v>
      </c>
      <c r="J76" s="64">
        <f t="shared" si="23"/>
        <v>82.9</v>
      </c>
      <c r="K76" s="38">
        <f t="shared" si="21"/>
        <v>-200</v>
      </c>
    </row>
    <row r="77" spans="1:11" s="39" customFormat="1" ht="16.5">
      <c r="A77" s="40" t="s">
        <v>30</v>
      </c>
      <c r="B77" s="58" t="s">
        <v>71</v>
      </c>
      <c r="C77" s="34">
        <f t="shared" si="20"/>
        <v>25</v>
      </c>
      <c r="D77" s="35">
        <v>20</v>
      </c>
      <c r="E77" s="36">
        <v>5</v>
      </c>
      <c r="F77" s="37">
        <v>15</v>
      </c>
      <c r="G77" s="35">
        <f>1403+62</f>
        <v>1465</v>
      </c>
      <c r="H77" s="35">
        <f>1590+67</f>
        <v>1657</v>
      </c>
      <c r="I77" s="64">
        <f t="shared" si="22"/>
        <v>73.25</v>
      </c>
      <c r="J77" s="64">
        <f t="shared" si="23"/>
        <v>82.85</v>
      </c>
      <c r="K77" s="38">
        <f t="shared" si="21"/>
        <v>-192</v>
      </c>
    </row>
    <row r="78" spans="1:13" s="39" customFormat="1" ht="16.5">
      <c r="A78" s="40" t="s">
        <v>30</v>
      </c>
      <c r="B78" s="59" t="s">
        <v>161</v>
      </c>
      <c r="C78" s="34">
        <f t="shared" si="20"/>
        <v>24</v>
      </c>
      <c r="D78" s="35">
        <v>20</v>
      </c>
      <c r="E78" s="36">
        <v>4</v>
      </c>
      <c r="F78" s="37">
        <v>16</v>
      </c>
      <c r="G78" s="35">
        <f>1378+78</f>
        <v>1456</v>
      </c>
      <c r="H78" s="35">
        <f>1619+80</f>
        <v>1699</v>
      </c>
      <c r="I78" s="64">
        <f t="shared" si="22"/>
        <v>72.8</v>
      </c>
      <c r="J78" s="64">
        <f t="shared" si="23"/>
        <v>84.95</v>
      </c>
      <c r="K78" s="38">
        <f t="shared" si="21"/>
        <v>-243</v>
      </c>
      <c r="M78" s="42">
        <f>SUM(I67:I78)/12</f>
        <v>76.98333333333333</v>
      </c>
    </row>
    <row r="79" spans="1:11" ht="23.25" customHeight="1">
      <c r="A79" s="40"/>
      <c r="C79" s="13"/>
      <c r="D79" s="33"/>
      <c r="E79" s="13"/>
      <c r="F79" s="13"/>
      <c r="G79" s="33"/>
      <c r="H79" s="33"/>
      <c r="I79" s="43"/>
      <c r="J79" s="43"/>
      <c r="K79" s="44"/>
    </row>
    <row r="80" spans="1:11" s="39" customFormat="1" ht="15.75">
      <c r="A80" s="33" t="s">
        <v>34</v>
      </c>
      <c r="B80" s="16" t="s">
        <v>153</v>
      </c>
      <c r="C80" s="34">
        <f aca="true" t="shared" si="24" ref="C80:C91">D80+E80</f>
        <v>38</v>
      </c>
      <c r="D80" s="35">
        <v>20</v>
      </c>
      <c r="E80" s="36">
        <v>18</v>
      </c>
      <c r="F80" s="37">
        <v>2</v>
      </c>
      <c r="G80" s="35">
        <f>1687+94</f>
        <v>1781</v>
      </c>
      <c r="H80" s="35">
        <f>1380+76</f>
        <v>1456</v>
      </c>
      <c r="I80" s="64">
        <f>G80/D80</f>
        <v>89.05</v>
      </c>
      <c r="J80" s="64">
        <f>H80/D80</f>
        <v>72.8</v>
      </c>
      <c r="K80" s="38">
        <f aca="true" t="shared" si="25" ref="K80:K85">G80-H80</f>
        <v>325</v>
      </c>
    </row>
    <row r="81" spans="1:11" s="39" customFormat="1" ht="15.75">
      <c r="A81" s="40" t="s">
        <v>34</v>
      </c>
      <c r="B81" s="14" t="s">
        <v>27</v>
      </c>
      <c r="C81" s="34">
        <f t="shared" si="24"/>
        <v>37</v>
      </c>
      <c r="D81" s="35">
        <v>20</v>
      </c>
      <c r="E81" s="36">
        <v>17</v>
      </c>
      <c r="F81" s="37">
        <v>3</v>
      </c>
      <c r="G81" s="35">
        <f>1551+72</f>
        <v>1623</v>
      </c>
      <c r="H81" s="35">
        <v>1278</v>
      </c>
      <c r="I81" s="64">
        <f aca="true" t="shared" si="26" ref="I81:I91">G81/D81</f>
        <v>81.15</v>
      </c>
      <c r="J81" s="64">
        <f aca="true" t="shared" si="27" ref="J81:J91">H81/D81</f>
        <v>63.9</v>
      </c>
      <c r="K81" s="38">
        <f t="shared" si="25"/>
        <v>345</v>
      </c>
    </row>
    <row r="82" spans="1:11" s="39" customFormat="1" ht="15.75">
      <c r="A82" s="40" t="s">
        <v>34</v>
      </c>
      <c r="B82" s="14" t="s">
        <v>59</v>
      </c>
      <c r="C82" s="34">
        <f t="shared" si="24"/>
        <v>36</v>
      </c>
      <c r="D82" s="35">
        <v>20</v>
      </c>
      <c r="E82" s="36">
        <v>16</v>
      </c>
      <c r="F82" s="37">
        <v>4</v>
      </c>
      <c r="G82" s="35">
        <f>1653+78</f>
        <v>1731</v>
      </c>
      <c r="H82" s="35">
        <f>1415+80</f>
        <v>1495</v>
      </c>
      <c r="I82" s="64">
        <f t="shared" si="26"/>
        <v>86.55</v>
      </c>
      <c r="J82" s="64">
        <f t="shared" si="27"/>
        <v>74.75</v>
      </c>
      <c r="K82" s="38">
        <f t="shared" si="25"/>
        <v>236</v>
      </c>
    </row>
    <row r="83" spans="1:11" s="39" customFormat="1" ht="15.75">
      <c r="A83" s="40" t="s">
        <v>34</v>
      </c>
      <c r="B83" s="14" t="s">
        <v>65</v>
      </c>
      <c r="C83" s="34">
        <f t="shared" si="24"/>
        <v>35</v>
      </c>
      <c r="D83" s="35">
        <v>20</v>
      </c>
      <c r="E83" s="36">
        <v>15</v>
      </c>
      <c r="F83" s="37">
        <v>5</v>
      </c>
      <c r="G83" s="35">
        <f>1543+80</f>
        <v>1623</v>
      </c>
      <c r="H83" s="35">
        <f>1387+78</f>
        <v>1465</v>
      </c>
      <c r="I83" s="64">
        <f t="shared" si="26"/>
        <v>81.15</v>
      </c>
      <c r="J83" s="64">
        <f t="shared" si="27"/>
        <v>73.25</v>
      </c>
      <c r="K83" s="38">
        <f t="shared" si="25"/>
        <v>158</v>
      </c>
    </row>
    <row r="84" spans="1:11" s="39" customFormat="1" ht="15.75">
      <c r="A84" s="40" t="s">
        <v>34</v>
      </c>
      <c r="B84" s="52" t="s">
        <v>122</v>
      </c>
      <c r="C84" s="34">
        <f t="shared" si="24"/>
        <v>32</v>
      </c>
      <c r="D84" s="35">
        <v>20</v>
      </c>
      <c r="E84" s="36">
        <v>12</v>
      </c>
      <c r="F84" s="37">
        <v>8</v>
      </c>
      <c r="G84" s="35">
        <f>1662+60</f>
        <v>1722</v>
      </c>
      <c r="H84" s="35">
        <f>1481+72</f>
        <v>1553</v>
      </c>
      <c r="I84" s="64">
        <f t="shared" si="26"/>
        <v>86.1</v>
      </c>
      <c r="J84" s="64">
        <f t="shared" si="27"/>
        <v>77.65</v>
      </c>
      <c r="K84" s="38">
        <f t="shared" si="25"/>
        <v>169</v>
      </c>
    </row>
    <row r="85" spans="1:11" s="39" customFormat="1" ht="15.75">
      <c r="A85" s="40" t="s">
        <v>34</v>
      </c>
      <c r="B85" s="52" t="s">
        <v>154</v>
      </c>
      <c r="C85" s="34">
        <f t="shared" si="24"/>
        <v>30</v>
      </c>
      <c r="D85" s="35">
        <v>20</v>
      </c>
      <c r="E85" s="36">
        <v>10</v>
      </c>
      <c r="F85" s="37">
        <v>10</v>
      </c>
      <c r="G85" s="35">
        <f>1399+83</f>
        <v>1482</v>
      </c>
      <c r="H85" s="35">
        <f>1384+76</f>
        <v>1460</v>
      </c>
      <c r="I85" s="64">
        <f t="shared" si="26"/>
        <v>74.1</v>
      </c>
      <c r="J85" s="64">
        <f t="shared" si="27"/>
        <v>73</v>
      </c>
      <c r="K85" s="38">
        <f t="shared" si="25"/>
        <v>22</v>
      </c>
    </row>
    <row r="86" spans="1:11" s="39" customFormat="1" ht="15.75">
      <c r="A86" s="40" t="s">
        <v>34</v>
      </c>
      <c r="B86" s="14" t="s">
        <v>155</v>
      </c>
      <c r="C86" s="34">
        <f t="shared" si="24"/>
        <v>29</v>
      </c>
      <c r="D86" s="35">
        <v>20</v>
      </c>
      <c r="E86" s="36">
        <v>9</v>
      </c>
      <c r="F86" s="37">
        <v>11</v>
      </c>
      <c r="G86" s="35">
        <f>1520+90</f>
        <v>1610</v>
      </c>
      <c r="H86" s="35">
        <f>1504+82</f>
        <v>1586</v>
      </c>
      <c r="I86" s="64">
        <f t="shared" si="26"/>
        <v>80.5</v>
      </c>
      <c r="J86" s="64">
        <f t="shared" si="27"/>
        <v>79.3</v>
      </c>
      <c r="K86" s="38">
        <f aca="true" t="shared" si="28" ref="K86:K91">G86-H86</f>
        <v>24</v>
      </c>
    </row>
    <row r="87" spans="1:11" s="39" customFormat="1" ht="15.75">
      <c r="A87" s="40" t="s">
        <v>34</v>
      </c>
      <c r="B87" s="12" t="s">
        <v>156</v>
      </c>
      <c r="C87" s="34">
        <f t="shared" si="24"/>
        <v>28</v>
      </c>
      <c r="D87" s="35">
        <v>20</v>
      </c>
      <c r="E87" s="36">
        <v>8</v>
      </c>
      <c r="F87" s="37">
        <v>12</v>
      </c>
      <c r="G87" s="35">
        <f>1472+76</f>
        <v>1548</v>
      </c>
      <c r="H87" s="35">
        <f>1644+94</f>
        <v>1738</v>
      </c>
      <c r="I87" s="64">
        <f t="shared" si="26"/>
        <v>77.4</v>
      </c>
      <c r="J87" s="64">
        <f t="shared" si="27"/>
        <v>86.9</v>
      </c>
      <c r="K87" s="38">
        <f t="shared" si="28"/>
        <v>-190</v>
      </c>
    </row>
    <row r="88" spans="1:11" s="39" customFormat="1" ht="15.75">
      <c r="A88" s="40" t="s">
        <v>34</v>
      </c>
      <c r="B88" s="52" t="s">
        <v>157</v>
      </c>
      <c r="C88" s="34">
        <f t="shared" si="24"/>
        <v>27</v>
      </c>
      <c r="D88" s="35">
        <v>20</v>
      </c>
      <c r="E88" s="36">
        <v>7</v>
      </c>
      <c r="F88" s="37">
        <v>13</v>
      </c>
      <c r="G88" s="35">
        <f>1357+92</f>
        <v>1449</v>
      </c>
      <c r="H88" s="35">
        <f>1486+65</f>
        <v>1551</v>
      </c>
      <c r="I88" s="64">
        <f t="shared" si="26"/>
        <v>72.45</v>
      </c>
      <c r="J88" s="64">
        <f t="shared" si="27"/>
        <v>77.55</v>
      </c>
      <c r="K88" s="38">
        <f t="shared" si="28"/>
        <v>-102</v>
      </c>
    </row>
    <row r="89" spans="1:11" s="39" customFormat="1" ht="16.5">
      <c r="A89" s="40" t="s">
        <v>34</v>
      </c>
      <c r="B89" s="58" t="s">
        <v>123</v>
      </c>
      <c r="C89" s="34">
        <f t="shared" si="24"/>
        <v>26</v>
      </c>
      <c r="D89" s="35">
        <v>20</v>
      </c>
      <c r="E89" s="36">
        <v>6</v>
      </c>
      <c r="F89" s="37">
        <v>14</v>
      </c>
      <c r="G89" s="35">
        <f>1395+82</f>
        <v>1477</v>
      </c>
      <c r="H89" s="35">
        <f>1488+90</f>
        <v>1578</v>
      </c>
      <c r="I89" s="64">
        <f t="shared" si="26"/>
        <v>73.85</v>
      </c>
      <c r="J89" s="64">
        <f t="shared" si="27"/>
        <v>78.9</v>
      </c>
      <c r="K89" s="38">
        <f t="shared" si="28"/>
        <v>-101</v>
      </c>
    </row>
    <row r="90" spans="1:11" s="39" customFormat="1" ht="16.5">
      <c r="A90" s="40" t="s">
        <v>34</v>
      </c>
      <c r="B90" s="17" t="s">
        <v>39</v>
      </c>
      <c r="C90" s="34">
        <f t="shared" si="24"/>
        <v>22</v>
      </c>
      <c r="D90" s="35">
        <v>20</v>
      </c>
      <c r="E90" s="36">
        <v>2</v>
      </c>
      <c r="F90" s="37">
        <v>18</v>
      </c>
      <c r="G90" s="35">
        <f>1307+76</f>
        <v>1383</v>
      </c>
      <c r="H90" s="35">
        <f>1504+83</f>
        <v>1587</v>
      </c>
      <c r="I90" s="64">
        <f t="shared" si="26"/>
        <v>69.15</v>
      </c>
      <c r="J90" s="64">
        <f t="shared" si="27"/>
        <v>79.35</v>
      </c>
      <c r="K90" s="38">
        <f t="shared" si="28"/>
        <v>-204</v>
      </c>
    </row>
    <row r="91" spans="1:13" s="39" customFormat="1" ht="16.5">
      <c r="A91" s="40" t="s">
        <v>34</v>
      </c>
      <c r="B91" s="18" t="s">
        <v>124</v>
      </c>
      <c r="C91" s="34">
        <f t="shared" si="24"/>
        <v>20</v>
      </c>
      <c r="D91" s="35">
        <v>20</v>
      </c>
      <c r="E91" s="36">
        <v>0</v>
      </c>
      <c r="F91" s="37">
        <v>20</v>
      </c>
      <c r="G91" s="35">
        <f>1095+65</f>
        <v>1160</v>
      </c>
      <c r="H91" s="35">
        <f>1750+92</f>
        <v>1842</v>
      </c>
      <c r="I91" s="64">
        <f t="shared" si="26"/>
        <v>58</v>
      </c>
      <c r="J91" s="64">
        <f t="shared" si="27"/>
        <v>92.1</v>
      </c>
      <c r="K91" s="38">
        <f t="shared" si="28"/>
        <v>-682</v>
      </c>
      <c r="L91" s="41"/>
      <c r="M91" s="42">
        <f>SUM(I80:I91)/12</f>
        <v>77.45416666666667</v>
      </c>
    </row>
    <row r="92" spans="1:11" ht="26.25" customHeight="1">
      <c r="A92" s="40"/>
      <c r="C92" s="13"/>
      <c r="D92" s="33"/>
      <c r="E92" s="13"/>
      <c r="F92" s="13"/>
      <c r="G92" s="33"/>
      <c r="H92" s="33"/>
      <c r="I92" s="43"/>
      <c r="J92" s="43"/>
      <c r="K92" s="44"/>
    </row>
    <row r="93" spans="1:11" s="39" customFormat="1" ht="15.75">
      <c r="A93" s="33" t="s">
        <v>36</v>
      </c>
      <c r="B93" s="49" t="s">
        <v>117</v>
      </c>
      <c r="C93" s="34">
        <f aca="true" t="shared" si="29" ref="C93:C104">D93+E93</f>
        <v>34</v>
      </c>
      <c r="D93" s="35">
        <v>19</v>
      </c>
      <c r="E93" s="36">
        <v>15</v>
      </c>
      <c r="F93" s="37">
        <v>4</v>
      </c>
      <c r="G93" s="35">
        <f>1292+76</f>
        <v>1368</v>
      </c>
      <c r="H93" s="35">
        <f>1219+71</f>
        <v>1290</v>
      </c>
      <c r="I93" s="64">
        <f>G93/D93</f>
        <v>72</v>
      </c>
      <c r="J93" s="64">
        <f>H93/D93</f>
        <v>67.89473684210526</v>
      </c>
      <c r="K93" s="38">
        <f aca="true" t="shared" si="30" ref="K93:K104">G93-H93</f>
        <v>78</v>
      </c>
    </row>
    <row r="94" spans="1:11" s="39" customFormat="1" ht="15.75">
      <c r="A94" s="40" t="s">
        <v>36</v>
      </c>
      <c r="B94" s="14" t="s">
        <v>116</v>
      </c>
      <c r="C94" s="34">
        <f t="shared" si="29"/>
        <v>35</v>
      </c>
      <c r="D94" s="35">
        <v>20</v>
      </c>
      <c r="E94" s="36">
        <v>15</v>
      </c>
      <c r="F94" s="37">
        <v>5</v>
      </c>
      <c r="G94" s="35">
        <f>1559+62</f>
        <v>1621</v>
      </c>
      <c r="H94" s="35">
        <f>1328+45</f>
        <v>1373</v>
      </c>
      <c r="I94" s="64">
        <f aca="true" t="shared" si="31" ref="I94:I104">G94/D94</f>
        <v>81.05</v>
      </c>
      <c r="J94" s="64">
        <f aca="true" t="shared" si="32" ref="J94:J104">H94/D94</f>
        <v>68.65</v>
      </c>
      <c r="K94" s="38">
        <f t="shared" si="30"/>
        <v>248</v>
      </c>
    </row>
    <row r="95" spans="1:11" s="39" customFormat="1" ht="15.75">
      <c r="A95" s="40" t="s">
        <v>36</v>
      </c>
      <c r="B95" s="14" t="s">
        <v>64</v>
      </c>
      <c r="C95" s="34">
        <f t="shared" si="29"/>
        <v>33</v>
      </c>
      <c r="D95" s="35">
        <v>20</v>
      </c>
      <c r="E95" s="36">
        <v>13</v>
      </c>
      <c r="F95" s="37">
        <v>7</v>
      </c>
      <c r="G95" s="35">
        <f>1573+101</f>
        <v>1674</v>
      </c>
      <c r="H95" s="35">
        <f>1412+91</f>
        <v>1503</v>
      </c>
      <c r="I95" s="64">
        <f t="shared" si="31"/>
        <v>83.7</v>
      </c>
      <c r="J95" s="64">
        <f t="shared" si="32"/>
        <v>75.15</v>
      </c>
      <c r="K95" s="38">
        <f t="shared" si="30"/>
        <v>171</v>
      </c>
    </row>
    <row r="96" spans="1:11" s="39" customFormat="1" ht="15.75">
      <c r="A96" s="40" t="s">
        <v>36</v>
      </c>
      <c r="B96" s="12" t="s">
        <v>118</v>
      </c>
      <c r="C96" s="34">
        <f t="shared" si="29"/>
        <v>33</v>
      </c>
      <c r="D96" s="35">
        <v>20</v>
      </c>
      <c r="E96" s="36">
        <v>13</v>
      </c>
      <c r="F96" s="37">
        <v>7</v>
      </c>
      <c r="G96" s="35">
        <f>1395+82</f>
        <v>1477</v>
      </c>
      <c r="H96" s="35">
        <f>1433+79</f>
        <v>1512</v>
      </c>
      <c r="I96" s="64">
        <f t="shared" si="31"/>
        <v>73.85</v>
      </c>
      <c r="J96" s="64">
        <f t="shared" si="32"/>
        <v>75.6</v>
      </c>
      <c r="K96" s="38">
        <f t="shared" si="30"/>
        <v>-35</v>
      </c>
    </row>
    <row r="97" spans="1:11" s="39" customFormat="1" ht="15.75">
      <c r="A97" s="40" t="s">
        <v>36</v>
      </c>
      <c r="B97" s="14" t="s">
        <v>150</v>
      </c>
      <c r="C97" s="34">
        <f t="shared" si="29"/>
        <v>31</v>
      </c>
      <c r="D97" s="35">
        <v>20</v>
      </c>
      <c r="E97" s="36">
        <v>11</v>
      </c>
      <c r="F97" s="37">
        <v>9</v>
      </c>
      <c r="G97" s="35">
        <f>1624+116</f>
        <v>1740</v>
      </c>
      <c r="H97" s="35">
        <f>1557+91</f>
        <v>1648</v>
      </c>
      <c r="I97" s="64">
        <f t="shared" si="31"/>
        <v>87</v>
      </c>
      <c r="J97" s="64">
        <f t="shared" si="32"/>
        <v>82.4</v>
      </c>
      <c r="K97" s="38">
        <f t="shared" si="30"/>
        <v>92</v>
      </c>
    </row>
    <row r="98" spans="1:11" s="39" customFormat="1" ht="15.75">
      <c r="A98" s="40" t="s">
        <v>36</v>
      </c>
      <c r="B98" s="14" t="s">
        <v>119</v>
      </c>
      <c r="C98" s="34">
        <f t="shared" si="29"/>
        <v>30</v>
      </c>
      <c r="D98" s="35">
        <v>20</v>
      </c>
      <c r="E98" s="36">
        <v>10</v>
      </c>
      <c r="F98" s="37">
        <v>10</v>
      </c>
      <c r="G98" s="35">
        <f>1513+82</f>
        <v>1595</v>
      </c>
      <c r="H98" s="35">
        <f>1521+79</f>
        <v>1600</v>
      </c>
      <c r="I98" s="64">
        <f t="shared" si="31"/>
        <v>79.75</v>
      </c>
      <c r="J98" s="64">
        <f t="shared" si="32"/>
        <v>80</v>
      </c>
      <c r="K98" s="38">
        <f t="shared" si="30"/>
        <v>-5</v>
      </c>
    </row>
    <row r="99" spans="1:11" s="39" customFormat="1" ht="15.75">
      <c r="A99" s="40" t="s">
        <v>36</v>
      </c>
      <c r="B99" s="14" t="s">
        <v>149</v>
      </c>
      <c r="C99" s="34">
        <f t="shared" si="29"/>
        <v>29</v>
      </c>
      <c r="D99" s="35">
        <v>19</v>
      </c>
      <c r="E99" s="36">
        <v>10</v>
      </c>
      <c r="F99" s="37">
        <v>9</v>
      </c>
      <c r="G99" s="35">
        <f>1407+79</f>
        <v>1486</v>
      </c>
      <c r="H99" s="35">
        <f>1421+82</f>
        <v>1503</v>
      </c>
      <c r="I99" s="64">
        <f t="shared" si="31"/>
        <v>78.21052631578948</v>
      </c>
      <c r="J99" s="64">
        <f t="shared" si="32"/>
        <v>79.10526315789474</v>
      </c>
      <c r="K99" s="38">
        <f t="shared" si="30"/>
        <v>-17</v>
      </c>
    </row>
    <row r="100" spans="1:11" s="39" customFormat="1" ht="15.75">
      <c r="A100" s="40" t="s">
        <v>36</v>
      </c>
      <c r="B100" s="52" t="s">
        <v>151</v>
      </c>
      <c r="C100" s="34">
        <f t="shared" si="29"/>
        <v>29</v>
      </c>
      <c r="D100" s="35">
        <v>20</v>
      </c>
      <c r="E100" s="36">
        <v>9</v>
      </c>
      <c r="F100" s="37">
        <v>11</v>
      </c>
      <c r="G100" s="35">
        <f>1473+71</f>
        <v>1544</v>
      </c>
      <c r="H100" s="35">
        <f>1534+76</f>
        <v>1610</v>
      </c>
      <c r="I100" s="64">
        <f t="shared" si="31"/>
        <v>77.2</v>
      </c>
      <c r="J100" s="64">
        <f t="shared" si="32"/>
        <v>80.5</v>
      </c>
      <c r="K100" s="38">
        <f t="shared" si="30"/>
        <v>-66</v>
      </c>
    </row>
    <row r="101" spans="1:11" s="39" customFormat="1" ht="15.75">
      <c r="A101" s="40" t="s">
        <v>36</v>
      </c>
      <c r="B101" s="14" t="s">
        <v>37</v>
      </c>
      <c r="C101" s="34">
        <f t="shared" si="29"/>
        <v>28</v>
      </c>
      <c r="D101" s="35">
        <v>20</v>
      </c>
      <c r="E101" s="36">
        <v>8</v>
      </c>
      <c r="F101" s="37">
        <v>12</v>
      </c>
      <c r="G101" s="35">
        <f>1498+45</f>
        <v>1543</v>
      </c>
      <c r="H101" s="35">
        <f>1498+62</f>
        <v>1560</v>
      </c>
      <c r="I101" s="64">
        <f t="shared" si="31"/>
        <v>77.15</v>
      </c>
      <c r="J101" s="64">
        <f t="shared" si="32"/>
        <v>78</v>
      </c>
      <c r="K101" s="38">
        <f t="shared" si="30"/>
        <v>-17</v>
      </c>
    </row>
    <row r="102" spans="1:11" s="39" customFormat="1" ht="16.5">
      <c r="A102" s="40" t="s">
        <v>36</v>
      </c>
      <c r="B102" s="17" t="s">
        <v>120</v>
      </c>
      <c r="C102" s="34">
        <f t="shared" si="29"/>
        <v>27</v>
      </c>
      <c r="D102" s="35">
        <v>20</v>
      </c>
      <c r="E102" s="36">
        <v>7</v>
      </c>
      <c r="F102" s="37">
        <v>13</v>
      </c>
      <c r="G102" s="35">
        <f>1467+91</f>
        <v>1558</v>
      </c>
      <c r="H102" s="35">
        <f>1542+116</f>
        <v>1658</v>
      </c>
      <c r="I102" s="64">
        <f t="shared" si="31"/>
        <v>77.9</v>
      </c>
      <c r="J102" s="64">
        <f t="shared" si="32"/>
        <v>82.9</v>
      </c>
      <c r="K102" s="38">
        <f t="shared" si="30"/>
        <v>-100</v>
      </c>
    </row>
    <row r="103" spans="1:11" s="39" customFormat="1" ht="16.5">
      <c r="A103" s="40" t="s">
        <v>36</v>
      </c>
      <c r="B103" s="17" t="s">
        <v>152</v>
      </c>
      <c r="C103" s="34">
        <f t="shared" si="29"/>
        <v>25</v>
      </c>
      <c r="D103" s="35">
        <v>20</v>
      </c>
      <c r="E103" s="36">
        <v>5</v>
      </c>
      <c r="F103" s="37">
        <v>15</v>
      </c>
      <c r="G103" s="35">
        <f>1417+79</f>
        <v>1496</v>
      </c>
      <c r="H103" s="35">
        <f>1529+82</f>
        <v>1611</v>
      </c>
      <c r="I103" s="64">
        <f t="shared" si="31"/>
        <v>74.8</v>
      </c>
      <c r="J103" s="64">
        <f t="shared" si="32"/>
        <v>80.55</v>
      </c>
      <c r="K103" s="38">
        <f t="shared" si="30"/>
        <v>-115</v>
      </c>
    </row>
    <row r="104" spans="1:13" s="39" customFormat="1" ht="16.5">
      <c r="A104" s="40" t="s">
        <v>36</v>
      </c>
      <c r="B104" s="59" t="s">
        <v>121</v>
      </c>
      <c r="C104" s="34">
        <f t="shared" si="29"/>
        <v>23</v>
      </c>
      <c r="D104" s="35">
        <v>20</v>
      </c>
      <c r="E104" s="36">
        <v>3</v>
      </c>
      <c r="F104" s="37">
        <v>17</v>
      </c>
      <c r="G104" s="35">
        <f>1526+91</f>
        <v>1617</v>
      </c>
      <c r="H104" s="35">
        <f>1750+101</f>
        <v>1851</v>
      </c>
      <c r="I104" s="64">
        <f t="shared" si="31"/>
        <v>80.85</v>
      </c>
      <c r="J104" s="64">
        <f t="shared" si="32"/>
        <v>92.55</v>
      </c>
      <c r="K104" s="38">
        <f t="shared" si="30"/>
        <v>-234</v>
      </c>
      <c r="L104" s="41"/>
      <c r="M104" s="42">
        <f>SUM(I93:I104)/12</f>
        <v>78.6217105263158</v>
      </c>
    </row>
    <row r="105" spans="1:11" ht="22.5" customHeight="1">
      <c r="A105" s="40"/>
      <c r="C105" s="13"/>
      <c r="D105" s="33"/>
      <c r="E105" s="13"/>
      <c r="F105" s="13"/>
      <c r="G105" s="33"/>
      <c r="H105" s="33"/>
      <c r="I105" s="43"/>
      <c r="J105" s="43"/>
      <c r="K105" s="44"/>
    </row>
    <row r="106" spans="1:11" s="39" customFormat="1" ht="15.75">
      <c r="A106" s="33" t="s">
        <v>38</v>
      </c>
      <c r="B106" s="50" t="s">
        <v>143</v>
      </c>
      <c r="C106" s="34">
        <f aca="true" t="shared" si="33" ref="C106:C117">D106+E106</f>
        <v>37</v>
      </c>
      <c r="D106" s="35">
        <v>20</v>
      </c>
      <c r="E106" s="36">
        <v>17</v>
      </c>
      <c r="F106" s="37">
        <v>3</v>
      </c>
      <c r="G106" s="35">
        <f>1508+67</f>
        <v>1575</v>
      </c>
      <c r="H106" s="35">
        <f>1278+72</f>
        <v>1350</v>
      </c>
      <c r="I106" s="64">
        <f>G106/D106</f>
        <v>78.75</v>
      </c>
      <c r="J106" s="64">
        <f>H106/D106</f>
        <v>67.5</v>
      </c>
      <c r="K106" s="38">
        <f aca="true" t="shared" si="34" ref="K106:K117">G106-H106</f>
        <v>225</v>
      </c>
    </row>
    <row r="107" spans="1:11" s="39" customFormat="1" ht="15.75">
      <c r="A107" s="40" t="s">
        <v>38</v>
      </c>
      <c r="B107" s="14" t="s">
        <v>145</v>
      </c>
      <c r="C107" s="34">
        <f t="shared" si="33"/>
        <v>36</v>
      </c>
      <c r="D107" s="35">
        <v>20</v>
      </c>
      <c r="E107" s="36">
        <v>16</v>
      </c>
      <c r="F107" s="37">
        <v>4</v>
      </c>
      <c r="G107" s="35">
        <f>1630+91</f>
        <v>1721</v>
      </c>
      <c r="H107" s="35">
        <f>1448+74</f>
        <v>1522</v>
      </c>
      <c r="I107" s="64">
        <f aca="true" t="shared" si="35" ref="I107:I117">G107/D107</f>
        <v>86.05</v>
      </c>
      <c r="J107" s="64">
        <f aca="true" t="shared" si="36" ref="J107:J117">H107/D107</f>
        <v>76.1</v>
      </c>
      <c r="K107" s="38">
        <f t="shared" si="34"/>
        <v>199</v>
      </c>
    </row>
    <row r="108" spans="1:11" s="39" customFormat="1" ht="15.75">
      <c r="A108" s="40" t="s">
        <v>38</v>
      </c>
      <c r="B108" s="14" t="s">
        <v>41</v>
      </c>
      <c r="C108" s="34">
        <f t="shared" si="33"/>
        <v>35</v>
      </c>
      <c r="D108" s="35">
        <v>20</v>
      </c>
      <c r="E108" s="36">
        <v>15</v>
      </c>
      <c r="F108" s="37">
        <v>5</v>
      </c>
      <c r="G108" s="35">
        <f>1525+80</f>
        <v>1605</v>
      </c>
      <c r="H108" s="35">
        <f>1413+64</f>
        <v>1477</v>
      </c>
      <c r="I108" s="64">
        <f t="shared" si="35"/>
        <v>80.25</v>
      </c>
      <c r="J108" s="64">
        <f t="shared" si="36"/>
        <v>73.85</v>
      </c>
      <c r="K108" s="38">
        <f t="shared" si="34"/>
        <v>128</v>
      </c>
    </row>
    <row r="109" spans="1:11" s="39" customFormat="1" ht="15.75">
      <c r="A109" s="40" t="s">
        <v>38</v>
      </c>
      <c r="B109" s="53" t="s">
        <v>144</v>
      </c>
      <c r="C109" s="34">
        <f t="shared" si="33"/>
        <v>35</v>
      </c>
      <c r="D109" s="35">
        <v>20</v>
      </c>
      <c r="E109" s="36">
        <v>15</v>
      </c>
      <c r="F109" s="37">
        <v>5</v>
      </c>
      <c r="G109" s="35">
        <v>1658</v>
      </c>
      <c r="H109" s="35">
        <v>1593</v>
      </c>
      <c r="I109" s="64">
        <f t="shared" si="35"/>
        <v>82.9</v>
      </c>
      <c r="J109" s="64">
        <f t="shared" si="36"/>
        <v>79.65</v>
      </c>
      <c r="K109" s="38">
        <f t="shared" si="34"/>
        <v>65</v>
      </c>
    </row>
    <row r="110" spans="1:11" s="39" customFormat="1" ht="15.75">
      <c r="A110" s="40" t="s">
        <v>38</v>
      </c>
      <c r="B110" s="12" t="s">
        <v>146</v>
      </c>
      <c r="C110" s="34">
        <f t="shared" si="33"/>
        <v>34</v>
      </c>
      <c r="D110" s="35">
        <v>20</v>
      </c>
      <c r="E110" s="36">
        <v>14</v>
      </c>
      <c r="F110" s="37">
        <v>6</v>
      </c>
      <c r="G110" s="35">
        <f>1634+71</f>
        <v>1705</v>
      </c>
      <c r="H110" s="35">
        <f>1508+55</f>
        <v>1563</v>
      </c>
      <c r="I110" s="64">
        <f t="shared" si="35"/>
        <v>85.25</v>
      </c>
      <c r="J110" s="64">
        <f t="shared" si="36"/>
        <v>78.15</v>
      </c>
      <c r="K110" s="38">
        <f t="shared" si="34"/>
        <v>142</v>
      </c>
    </row>
    <row r="111" spans="1:11" s="39" customFormat="1" ht="15.75">
      <c r="A111" s="40" t="s">
        <v>38</v>
      </c>
      <c r="B111" s="14" t="s">
        <v>113</v>
      </c>
      <c r="C111" s="34">
        <f t="shared" si="33"/>
        <v>28</v>
      </c>
      <c r="D111" s="35">
        <v>20</v>
      </c>
      <c r="E111" s="36">
        <v>8</v>
      </c>
      <c r="F111" s="37">
        <v>12</v>
      </c>
      <c r="G111" s="35">
        <f>1393+72</f>
        <v>1465</v>
      </c>
      <c r="H111" s="35">
        <f>1443+67</f>
        <v>1510</v>
      </c>
      <c r="I111" s="64">
        <f t="shared" si="35"/>
        <v>73.25</v>
      </c>
      <c r="J111" s="64">
        <f t="shared" si="36"/>
        <v>75.5</v>
      </c>
      <c r="K111" s="38">
        <f t="shared" si="34"/>
        <v>-45</v>
      </c>
    </row>
    <row r="112" spans="1:11" s="39" customFormat="1" ht="15.75">
      <c r="A112" s="40" t="s">
        <v>38</v>
      </c>
      <c r="B112" s="14" t="s">
        <v>63</v>
      </c>
      <c r="C112" s="34">
        <f t="shared" si="33"/>
        <v>28</v>
      </c>
      <c r="D112" s="35">
        <v>20</v>
      </c>
      <c r="E112" s="36">
        <v>8</v>
      </c>
      <c r="F112" s="37">
        <v>12</v>
      </c>
      <c r="G112" s="35">
        <f>1485+102</f>
        <v>1587</v>
      </c>
      <c r="H112" s="35">
        <f>1569+81</f>
        <v>1650</v>
      </c>
      <c r="I112" s="64">
        <f t="shared" si="35"/>
        <v>79.35</v>
      </c>
      <c r="J112" s="64">
        <f t="shared" si="36"/>
        <v>82.5</v>
      </c>
      <c r="K112" s="38">
        <f t="shared" si="34"/>
        <v>-63</v>
      </c>
    </row>
    <row r="113" spans="1:11" s="39" customFormat="1" ht="15.75">
      <c r="A113" s="40" t="s">
        <v>38</v>
      </c>
      <c r="B113" s="53" t="s">
        <v>115</v>
      </c>
      <c r="C113" s="34">
        <f t="shared" si="33"/>
        <v>27</v>
      </c>
      <c r="D113" s="35">
        <v>20</v>
      </c>
      <c r="E113" s="36">
        <v>7</v>
      </c>
      <c r="F113" s="37">
        <v>13</v>
      </c>
      <c r="G113" s="35">
        <f>1448+55</f>
        <v>1503</v>
      </c>
      <c r="H113" s="35">
        <f>1466+71</f>
        <v>1537</v>
      </c>
      <c r="I113" s="64">
        <f t="shared" si="35"/>
        <v>75.15</v>
      </c>
      <c r="J113" s="64">
        <f t="shared" si="36"/>
        <v>76.85</v>
      </c>
      <c r="K113" s="38">
        <f t="shared" si="34"/>
        <v>-34</v>
      </c>
    </row>
    <row r="114" spans="1:12" s="39" customFormat="1" ht="15.75">
      <c r="A114" s="40" t="s">
        <v>38</v>
      </c>
      <c r="B114" s="52" t="s">
        <v>114</v>
      </c>
      <c r="C114" s="34">
        <f t="shared" si="33"/>
        <v>27</v>
      </c>
      <c r="D114" s="35">
        <v>20</v>
      </c>
      <c r="E114" s="36">
        <v>7</v>
      </c>
      <c r="F114" s="37">
        <v>13</v>
      </c>
      <c r="G114" s="35">
        <f>1391+74</f>
        <v>1465</v>
      </c>
      <c r="H114" s="35">
        <f>1446+91</f>
        <v>1537</v>
      </c>
      <c r="I114" s="64">
        <f t="shared" si="35"/>
        <v>73.25</v>
      </c>
      <c r="J114" s="64">
        <f t="shared" si="36"/>
        <v>76.85</v>
      </c>
      <c r="K114" s="38">
        <f t="shared" si="34"/>
        <v>-72</v>
      </c>
      <c r="L114" s="41"/>
    </row>
    <row r="115" spans="1:12" s="39" customFormat="1" ht="16.5">
      <c r="A115" s="40" t="s">
        <v>38</v>
      </c>
      <c r="B115" s="17" t="s">
        <v>35</v>
      </c>
      <c r="C115" s="34">
        <f t="shared" si="33"/>
        <v>26</v>
      </c>
      <c r="D115" s="35">
        <v>20</v>
      </c>
      <c r="E115" s="36">
        <v>6</v>
      </c>
      <c r="F115" s="37">
        <v>14</v>
      </c>
      <c r="G115" s="35">
        <f>1482+64</f>
        <v>1546</v>
      </c>
      <c r="H115" s="35">
        <f>1598+80</f>
        <v>1678</v>
      </c>
      <c r="I115" s="64">
        <f t="shared" si="35"/>
        <v>77.3</v>
      </c>
      <c r="J115" s="64">
        <f t="shared" si="36"/>
        <v>83.9</v>
      </c>
      <c r="K115" s="38">
        <f t="shared" si="34"/>
        <v>-132</v>
      </c>
      <c r="L115" s="41"/>
    </row>
    <row r="116" spans="1:11" s="39" customFormat="1" ht="16.5">
      <c r="A116" s="40" t="s">
        <v>38</v>
      </c>
      <c r="B116" s="17" t="s">
        <v>147</v>
      </c>
      <c r="C116" s="34">
        <f t="shared" si="33"/>
        <v>24</v>
      </c>
      <c r="D116" s="35">
        <v>20</v>
      </c>
      <c r="E116" s="36">
        <v>4</v>
      </c>
      <c r="F116" s="37">
        <v>16</v>
      </c>
      <c r="G116" s="35">
        <f>1350+93</f>
        <v>1443</v>
      </c>
      <c r="H116" s="35">
        <v>1608</v>
      </c>
      <c r="I116" s="64">
        <f t="shared" si="35"/>
        <v>72.15</v>
      </c>
      <c r="J116" s="64">
        <f t="shared" si="36"/>
        <v>80.4</v>
      </c>
      <c r="K116" s="38">
        <f t="shared" si="34"/>
        <v>-165</v>
      </c>
    </row>
    <row r="117" spans="1:13" s="39" customFormat="1" ht="16.5">
      <c r="A117" s="25" t="s">
        <v>38</v>
      </c>
      <c r="B117" s="59" t="s">
        <v>148</v>
      </c>
      <c r="C117" s="34">
        <f t="shared" si="33"/>
        <v>23</v>
      </c>
      <c r="D117" s="35">
        <v>20</v>
      </c>
      <c r="E117" s="36">
        <v>3</v>
      </c>
      <c r="F117" s="37">
        <v>17</v>
      </c>
      <c r="G117" s="35">
        <f>1329+81</f>
        <v>1410</v>
      </c>
      <c r="H117" s="35">
        <f>1556+102</f>
        <v>1658</v>
      </c>
      <c r="I117" s="64">
        <f t="shared" si="35"/>
        <v>70.5</v>
      </c>
      <c r="J117" s="64">
        <f t="shared" si="36"/>
        <v>82.9</v>
      </c>
      <c r="K117" s="38">
        <f t="shared" si="34"/>
        <v>-248</v>
      </c>
      <c r="M117" s="42">
        <f>SUM(I106:I117)/12</f>
        <v>77.84583333333333</v>
      </c>
    </row>
    <row r="118" spans="1:11" ht="15" customHeight="1">
      <c r="A118" s="40"/>
      <c r="C118" s="13"/>
      <c r="D118" s="33"/>
      <c r="E118" s="13"/>
      <c r="F118" s="13"/>
      <c r="G118" s="33"/>
      <c r="H118" s="33"/>
      <c r="I118" s="43"/>
      <c r="J118" s="43"/>
      <c r="K118" s="44"/>
    </row>
    <row r="119" spans="1:11" s="39" customFormat="1" ht="15.75">
      <c r="A119" s="33" t="s">
        <v>42</v>
      </c>
      <c r="B119" s="16" t="s">
        <v>62</v>
      </c>
      <c r="C119" s="34">
        <f aca="true" t="shared" si="37" ref="C119:C130">D119+E119</f>
        <v>39</v>
      </c>
      <c r="D119" s="35">
        <v>20</v>
      </c>
      <c r="E119" s="36">
        <v>19</v>
      </c>
      <c r="F119" s="37">
        <v>1</v>
      </c>
      <c r="G119" s="35">
        <f>1729+108</f>
        <v>1837</v>
      </c>
      <c r="H119" s="35">
        <f>1377+74</f>
        <v>1451</v>
      </c>
      <c r="I119" s="64">
        <f>G119/D119</f>
        <v>91.85</v>
      </c>
      <c r="J119" s="64">
        <f>H119/D119</f>
        <v>72.55</v>
      </c>
      <c r="K119" s="38">
        <f aca="true" t="shared" si="38" ref="K119:K130">G119-H119</f>
        <v>386</v>
      </c>
    </row>
    <row r="120" spans="1:11" s="39" customFormat="1" ht="15.75">
      <c r="A120" s="40" t="s">
        <v>42</v>
      </c>
      <c r="B120" s="14" t="s">
        <v>138</v>
      </c>
      <c r="C120" s="34">
        <f t="shared" si="37"/>
        <v>38</v>
      </c>
      <c r="D120" s="35">
        <v>20</v>
      </c>
      <c r="E120" s="36">
        <v>18</v>
      </c>
      <c r="F120" s="37">
        <v>2</v>
      </c>
      <c r="G120" s="35">
        <f>1622+104</f>
        <v>1726</v>
      </c>
      <c r="H120" s="35">
        <f>1334+74</f>
        <v>1408</v>
      </c>
      <c r="I120" s="64">
        <f aca="true" t="shared" si="39" ref="I120:I130">G120/D120</f>
        <v>86.3</v>
      </c>
      <c r="J120" s="64">
        <f aca="true" t="shared" si="40" ref="J120:J130">H120/D120</f>
        <v>70.4</v>
      </c>
      <c r="K120" s="38">
        <f t="shared" si="38"/>
        <v>318</v>
      </c>
    </row>
    <row r="121" spans="1:11" s="39" customFormat="1" ht="15.75">
      <c r="A121" s="40" t="s">
        <v>42</v>
      </c>
      <c r="B121" s="52" t="s">
        <v>139</v>
      </c>
      <c r="C121" s="34">
        <f t="shared" si="37"/>
        <v>34</v>
      </c>
      <c r="D121" s="35">
        <v>20</v>
      </c>
      <c r="E121" s="36">
        <v>14</v>
      </c>
      <c r="F121" s="37">
        <v>6</v>
      </c>
      <c r="G121" s="35">
        <f>1459+75</f>
        <v>1534</v>
      </c>
      <c r="H121" s="35">
        <f>1412+68</f>
        <v>1480</v>
      </c>
      <c r="I121" s="64">
        <f t="shared" si="39"/>
        <v>76.7</v>
      </c>
      <c r="J121" s="64">
        <f t="shared" si="40"/>
        <v>74</v>
      </c>
      <c r="K121" s="38">
        <f t="shared" si="38"/>
        <v>54</v>
      </c>
    </row>
    <row r="122" spans="1:11" s="39" customFormat="1" ht="15.75">
      <c r="A122" s="40" t="s">
        <v>42</v>
      </c>
      <c r="B122" s="14" t="s">
        <v>43</v>
      </c>
      <c r="C122" s="34">
        <f t="shared" si="37"/>
        <v>32</v>
      </c>
      <c r="D122" s="35">
        <v>20</v>
      </c>
      <c r="E122" s="36">
        <v>12</v>
      </c>
      <c r="F122" s="37">
        <v>8</v>
      </c>
      <c r="G122" s="35">
        <f>1633+106</f>
        <v>1739</v>
      </c>
      <c r="H122" s="35">
        <f>1558+95</f>
        <v>1653</v>
      </c>
      <c r="I122" s="64">
        <f t="shared" si="39"/>
        <v>86.95</v>
      </c>
      <c r="J122" s="64">
        <f t="shared" si="40"/>
        <v>82.65</v>
      </c>
      <c r="K122" s="38">
        <f t="shared" si="38"/>
        <v>86</v>
      </c>
    </row>
    <row r="123" spans="1:11" s="39" customFormat="1" ht="15.75">
      <c r="A123" s="40" t="s">
        <v>42</v>
      </c>
      <c r="B123" s="14" t="s">
        <v>140</v>
      </c>
      <c r="C123" s="34">
        <f t="shared" si="37"/>
        <v>32</v>
      </c>
      <c r="D123" s="35">
        <v>20</v>
      </c>
      <c r="E123" s="36">
        <v>12</v>
      </c>
      <c r="F123" s="37">
        <v>8</v>
      </c>
      <c r="G123" s="35">
        <f>1572+68</f>
        <v>1640</v>
      </c>
      <c r="H123" s="35">
        <f>1526+75</f>
        <v>1601</v>
      </c>
      <c r="I123" s="64">
        <f t="shared" si="39"/>
        <v>82</v>
      </c>
      <c r="J123" s="64">
        <f t="shared" si="40"/>
        <v>80.05</v>
      </c>
      <c r="K123" s="38">
        <f t="shared" si="38"/>
        <v>39</v>
      </c>
    </row>
    <row r="124" spans="1:11" s="39" customFormat="1" ht="15.75">
      <c r="A124" s="40" t="s">
        <v>42</v>
      </c>
      <c r="B124" s="57" t="s">
        <v>109</v>
      </c>
      <c r="C124" s="34">
        <f t="shared" si="37"/>
        <v>30</v>
      </c>
      <c r="D124" s="35">
        <v>20</v>
      </c>
      <c r="E124" s="36">
        <v>10</v>
      </c>
      <c r="F124" s="37">
        <v>10</v>
      </c>
      <c r="G124" s="35">
        <f>1564+74</f>
        <v>1638</v>
      </c>
      <c r="H124" s="35">
        <f>1489+108</f>
        <v>1597</v>
      </c>
      <c r="I124" s="64">
        <f t="shared" si="39"/>
        <v>81.9</v>
      </c>
      <c r="J124" s="64">
        <f t="shared" si="40"/>
        <v>79.85</v>
      </c>
      <c r="K124" s="38">
        <f t="shared" si="38"/>
        <v>41</v>
      </c>
    </row>
    <row r="125" spans="1:11" s="39" customFormat="1" ht="15.75">
      <c r="A125" s="40" t="s">
        <v>42</v>
      </c>
      <c r="B125" s="14" t="s">
        <v>40</v>
      </c>
      <c r="C125" s="34">
        <f t="shared" si="37"/>
        <v>30</v>
      </c>
      <c r="D125" s="35">
        <v>20</v>
      </c>
      <c r="E125" s="36">
        <v>10</v>
      </c>
      <c r="F125" s="37">
        <v>10</v>
      </c>
      <c r="G125" s="35">
        <f>1490+95</f>
        <v>1585</v>
      </c>
      <c r="H125" s="35">
        <f>1438+106</f>
        <v>1544</v>
      </c>
      <c r="I125" s="64">
        <f t="shared" si="39"/>
        <v>79.25</v>
      </c>
      <c r="J125" s="64">
        <f t="shared" si="40"/>
        <v>77.2</v>
      </c>
      <c r="K125" s="38">
        <f t="shared" si="38"/>
        <v>41</v>
      </c>
    </row>
    <row r="126" spans="1:11" s="39" customFormat="1" ht="15.75">
      <c r="A126" s="40" t="s">
        <v>42</v>
      </c>
      <c r="B126" s="14" t="s">
        <v>141</v>
      </c>
      <c r="C126" s="34">
        <f t="shared" si="37"/>
        <v>27</v>
      </c>
      <c r="D126" s="35">
        <v>20</v>
      </c>
      <c r="E126" s="36">
        <v>7</v>
      </c>
      <c r="F126" s="37">
        <v>13</v>
      </c>
      <c r="G126" s="35">
        <f>1312+69</f>
        <v>1381</v>
      </c>
      <c r="H126" s="35">
        <f>1553+51</f>
        <v>1604</v>
      </c>
      <c r="I126" s="64">
        <f t="shared" si="39"/>
        <v>69.05</v>
      </c>
      <c r="J126" s="64">
        <f t="shared" si="40"/>
        <v>80.2</v>
      </c>
      <c r="K126" s="38">
        <f t="shared" si="38"/>
        <v>-223</v>
      </c>
    </row>
    <row r="127" spans="1:11" s="39" customFormat="1" ht="15.75">
      <c r="A127" s="40" t="s">
        <v>42</v>
      </c>
      <c r="B127" s="52" t="s">
        <v>112</v>
      </c>
      <c r="C127" s="34">
        <f t="shared" si="37"/>
        <v>27</v>
      </c>
      <c r="D127" s="35">
        <v>20</v>
      </c>
      <c r="E127" s="36">
        <v>7</v>
      </c>
      <c r="F127" s="37">
        <v>13</v>
      </c>
      <c r="G127" s="35">
        <f>1392+97</f>
        <v>1489</v>
      </c>
      <c r="H127" s="35">
        <f>1531+92</f>
        <v>1623</v>
      </c>
      <c r="I127" s="64">
        <f t="shared" si="39"/>
        <v>74.45</v>
      </c>
      <c r="J127" s="64">
        <f t="shared" si="40"/>
        <v>81.15</v>
      </c>
      <c r="K127" s="38">
        <f t="shared" si="38"/>
        <v>-134</v>
      </c>
    </row>
    <row r="128" spans="1:11" s="39" customFormat="1" ht="16.5">
      <c r="A128" s="40" t="s">
        <v>42</v>
      </c>
      <c r="B128" s="17" t="s">
        <v>110</v>
      </c>
      <c r="C128" s="34">
        <f t="shared" si="37"/>
        <v>26</v>
      </c>
      <c r="D128" s="35">
        <v>20</v>
      </c>
      <c r="E128" s="36">
        <v>6</v>
      </c>
      <c r="F128" s="37">
        <v>14</v>
      </c>
      <c r="G128" s="35">
        <f>1335+92</f>
        <v>1427</v>
      </c>
      <c r="H128" s="35">
        <f>1447+97</f>
        <v>1544</v>
      </c>
      <c r="I128" s="64">
        <f t="shared" si="39"/>
        <v>71.35</v>
      </c>
      <c r="J128" s="64">
        <f t="shared" si="40"/>
        <v>77.2</v>
      </c>
      <c r="K128" s="38">
        <f t="shared" si="38"/>
        <v>-117</v>
      </c>
    </row>
    <row r="129" spans="1:12" s="39" customFormat="1" ht="16.5">
      <c r="A129" s="40" t="s">
        <v>42</v>
      </c>
      <c r="B129" s="58" t="s">
        <v>111</v>
      </c>
      <c r="C129" s="34">
        <f t="shared" si="37"/>
        <v>24</v>
      </c>
      <c r="D129" s="35">
        <v>20</v>
      </c>
      <c r="E129" s="36">
        <v>4</v>
      </c>
      <c r="F129" s="37">
        <v>16</v>
      </c>
      <c r="G129" s="35">
        <f>1310+51</f>
        <v>1361</v>
      </c>
      <c r="H129" s="35">
        <f>1440+69</f>
        <v>1509</v>
      </c>
      <c r="I129" s="64">
        <f t="shared" si="39"/>
        <v>68.05</v>
      </c>
      <c r="J129" s="64">
        <f t="shared" si="40"/>
        <v>75.45</v>
      </c>
      <c r="K129" s="38">
        <f t="shared" si="38"/>
        <v>-148</v>
      </c>
      <c r="L129" s="41"/>
    </row>
    <row r="130" spans="1:13" s="39" customFormat="1" ht="16.5">
      <c r="A130" s="40" t="s">
        <v>42</v>
      </c>
      <c r="B130" s="60" t="s">
        <v>142</v>
      </c>
      <c r="C130" s="34">
        <f t="shared" si="37"/>
        <v>21</v>
      </c>
      <c r="D130" s="35">
        <v>20</v>
      </c>
      <c r="E130" s="36">
        <v>1</v>
      </c>
      <c r="F130" s="37">
        <v>19</v>
      </c>
      <c r="G130" s="35">
        <f>1332+74</f>
        <v>1406</v>
      </c>
      <c r="H130" s="35">
        <f>1645+104</f>
        <v>1749</v>
      </c>
      <c r="I130" s="64">
        <f t="shared" si="39"/>
        <v>70.3</v>
      </c>
      <c r="J130" s="64">
        <f t="shared" si="40"/>
        <v>87.45</v>
      </c>
      <c r="K130" s="38">
        <f t="shared" si="38"/>
        <v>-343</v>
      </c>
      <c r="L130" s="41"/>
      <c r="M130" s="42">
        <f>SUM(I119:I130)/12</f>
        <v>78.17916666666666</v>
      </c>
    </row>
    <row r="131" spans="1:11" ht="15.75" customHeight="1">
      <c r="A131" s="40"/>
      <c r="C131" s="13"/>
      <c r="D131" s="33"/>
      <c r="E131" s="13"/>
      <c r="F131" s="13"/>
      <c r="G131" s="33"/>
      <c r="H131" s="33"/>
      <c r="I131" s="43"/>
      <c r="J131" s="43"/>
      <c r="K131" s="44"/>
    </row>
    <row r="132" spans="1:11" s="39" customFormat="1" ht="15.75">
      <c r="A132" s="33" t="s">
        <v>47</v>
      </c>
      <c r="B132" s="50" t="s">
        <v>104</v>
      </c>
      <c r="C132" s="34">
        <f aca="true" t="shared" si="41" ref="C132:C140">D132+E132</f>
        <v>35</v>
      </c>
      <c r="D132" s="35">
        <v>20</v>
      </c>
      <c r="E132" s="36">
        <v>15</v>
      </c>
      <c r="F132" s="37">
        <v>5</v>
      </c>
      <c r="G132" s="35">
        <f>1735+83</f>
        <v>1818</v>
      </c>
      <c r="H132" s="35">
        <f>1590+67</f>
        <v>1657</v>
      </c>
      <c r="I132" s="64">
        <f>G132/D132</f>
        <v>90.9</v>
      </c>
      <c r="J132" s="64">
        <f>H132/D132</f>
        <v>82.85</v>
      </c>
      <c r="K132" s="65">
        <f aca="true" t="shared" si="42" ref="K132:K143">G132-H132</f>
        <v>161</v>
      </c>
    </row>
    <row r="133" spans="1:11" s="39" customFormat="1" ht="15.75">
      <c r="A133" s="40" t="s">
        <v>47</v>
      </c>
      <c r="B133" s="14" t="s">
        <v>125</v>
      </c>
      <c r="C133" s="34">
        <f t="shared" si="41"/>
        <v>34</v>
      </c>
      <c r="D133" s="35">
        <v>20</v>
      </c>
      <c r="E133" s="36">
        <v>14</v>
      </c>
      <c r="F133" s="37">
        <v>6</v>
      </c>
      <c r="G133" s="35">
        <f>1732+79</f>
        <v>1811</v>
      </c>
      <c r="H133" s="35">
        <f>1450+91</f>
        <v>1541</v>
      </c>
      <c r="I133" s="64">
        <f aca="true" t="shared" si="43" ref="I133:I143">G133/D133</f>
        <v>90.55</v>
      </c>
      <c r="J133" s="64">
        <f aca="true" t="shared" si="44" ref="J133:J143">H133/D133</f>
        <v>77.05</v>
      </c>
      <c r="K133" s="65">
        <f>G133-H133</f>
        <v>270</v>
      </c>
    </row>
    <row r="134" spans="1:11" s="39" customFormat="1" ht="15.75">
      <c r="A134" s="40" t="s">
        <v>47</v>
      </c>
      <c r="B134" s="14" t="s">
        <v>44</v>
      </c>
      <c r="C134" s="34">
        <f t="shared" si="41"/>
        <v>34</v>
      </c>
      <c r="D134" s="35">
        <v>20</v>
      </c>
      <c r="E134" s="36">
        <v>14</v>
      </c>
      <c r="F134" s="37">
        <v>6</v>
      </c>
      <c r="G134" s="35">
        <f>1643+74</f>
        <v>1717</v>
      </c>
      <c r="H134" s="35">
        <f>1476+72</f>
        <v>1548</v>
      </c>
      <c r="I134" s="64">
        <f t="shared" si="43"/>
        <v>85.85</v>
      </c>
      <c r="J134" s="64">
        <f t="shared" si="44"/>
        <v>77.4</v>
      </c>
      <c r="K134" s="65">
        <f t="shared" si="42"/>
        <v>169</v>
      </c>
    </row>
    <row r="135" spans="1:11" s="39" customFormat="1" ht="15.75">
      <c r="A135" s="40" t="s">
        <v>47</v>
      </c>
      <c r="B135" s="14" t="s">
        <v>66</v>
      </c>
      <c r="C135" s="34">
        <f t="shared" si="41"/>
        <v>32</v>
      </c>
      <c r="D135" s="35">
        <v>20</v>
      </c>
      <c r="E135" s="36">
        <v>12</v>
      </c>
      <c r="F135" s="37">
        <v>8</v>
      </c>
      <c r="G135" s="35">
        <v>1837</v>
      </c>
      <c r="H135" s="35">
        <f>1698+76</f>
        <v>1774</v>
      </c>
      <c r="I135" s="64">
        <f t="shared" si="43"/>
        <v>91.85</v>
      </c>
      <c r="J135" s="64">
        <f t="shared" si="44"/>
        <v>88.7</v>
      </c>
      <c r="K135" s="65">
        <f t="shared" si="42"/>
        <v>63</v>
      </c>
    </row>
    <row r="136" spans="1:11" s="39" customFormat="1" ht="15.75">
      <c r="A136" s="40" t="s">
        <v>47</v>
      </c>
      <c r="B136" s="12" t="s">
        <v>167</v>
      </c>
      <c r="C136" s="34">
        <f t="shared" si="41"/>
        <v>31</v>
      </c>
      <c r="D136" s="35">
        <v>20</v>
      </c>
      <c r="E136" s="36">
        <v>11</v>
      </c>
      <c r="F136" s="37">
        <v>9</v>
      </c>
      <c r="G136" s="35">
        <f>1661+95</f>
        <v>1756</v>
      </c>
      <c r="H136" s="35">
        <f>1574+80</f>
        <v>1654</v>
      </c>
      <c r="I136" s="64">
        <f t="shared" si="43"/>
        <v>87.8</v>
      </c>
      <c r="J136" s="64">
        <f t="shared" si="44"/>
        <v>82.7</v>
      </c>
      <c r="K136" s="65">
        <f t="shared" si="42"/>
        <v>102</v>
      </c>
    </row>
    <row r="137" spans="1:11" s="39" customFormat="1" ht="15.75">
      <c r="A137" s="40" t="s">
        <v>47</v>
      </c>
      <c r="B137" s="53" t="s">
        <v>106</v>
      </c>
      <c r="C137" s="34">
        <f t="shared" si="41"/>
        <v>31</v>
      </c>
      <c r="D137" s="35">
        <v>20</v>
      </c>
      <c r="E137" s="36">
        <v>11</v>
      </c>
      <c r="F137" s="37">
        <v>9</v>
      </c>
      <c r="G137" s="35">
        <f>1599+66</f>
        <v>1665</v>
      </c>
      <c r="H137" s="35">
        <v>1664</v>
      </c>
      <c r="I137" s="64">
        <f t="shared" si="43"/>
        <v>83.25</v>
      </c>
      <c r="J137" s="64">
        <f t="shared" si="44"/>
        <v>83.2</v>
      </c>
      <c r="K137" s="65">
        <f t="shared" si="42"/>
        <v>1</v>
      </c>
    </row>
    <row r="138" spans="1:11" s="39" customFormat="1" ht="15.75">
      <c r="A138" s="40" t="s">
        <v>47</v>
      </c>
      <c r="B138" s="14" t="s">
        <v>45</v>
      </c>
      <c r="C138" s="34">
        <f t="shared" si="41"/>
        <v>30</v>
      </c>
      <c r="D138" s="35">
        <v>20</v>
      </c>
      <c r="E138" s="36">
        <v>10</v>
      </c>
      <c r="F138" s="37">
        <v>10</v>
      </c>
      <c r="G138" s="35">
        <f>1494+72</f>
        <v>1566</v>
      </c>
      <c r="H138" s="35">
        <f>1559+74</f>
        <v>1633</v>
      </c>
      <c r="I138" s="64">
        <f t="shared" si="43"/>
        <v>78.3</v>
      </c>
      <c r="J138" s="64">
        <f t="shared" si="44"/>
        <v>81.65</v>
      </c>
      <c r="K138" s="65">
        <f t="shared" si="42"/>
        <v>-67</v>
      </c>
    </row>
    <row r="139" spans="1:11" s="39" customFormat="1" ht="15.75">
      <c r="A139" s="40" t="s">
        <v>47</v>
      </c>
      <c r="B139" s="52" t="s">
        <v>105</v>
      </c>
      <c r="C139" s="34">
        <f t="shared" si="41"/>
        <v>30</v>
      </c>
      <c r="D139" s="35">
        <v>20</v>
      </c>
      <c r="E139" s="36">
        <v>10</v>
      </c>
      <c r="F139" s="37">
        <v>10</v>
      </c>
      <c r="G139" s="35">
        <f>1481+64</f>
        <v>1545</v>
      </c>
      <c r="H139" s="35">
        <f>1489+66</f>
        <v>1555</v>
      </c>
      <c r="I139" s="64">
        <f t="shared" si="43"/>
        <v>77.25</v>
      </c>
      <c r="J139" s="64">
        <f t="shared" si="44"/>
        <v>77.75</v>
      </c>
      <c r="K139" s="65">
        <f t="shared" si="42"/>
        <v>-10</v>
      </c>
    </row>
    <row r="140" spans="1:11" s="39" customFormat="1" ht="15.75">
      <c r="A140" s="40" t="s">
        <v>47</v>
      </c>
      <c r="B140" s="14" t="s">
        <v>107</v>
      </c>
      <c r="C140" s="34">
        <f t="shared" si="41"/>
        <v>30</v>
      </c>
      <c r="D140" s="35">
        <v>20</v>
      </c>
      <c r="E140" s="36">
        <v>10</v>
      </c>
      <c r="F140" s="37">
        <v>10</v>
      </c>
      <c r="G140" s="35">
        <f>1617+91</f>
        <v>1708</v>
      </c>
      <c r="H140" s="35">
        <f>1615+79</f>
        <v>1694</v>
      </c>
      <c r="I140" s="64">
        <f t="shared" si="43"/>
        <v>85.4</v>
      </c>
      <c r="J140" s="64">
        <f t="shared" si="44"/>
        <v>84.7</v>
      </c>
      <c r="K140" s="65">
        <f t="shared" si="42"/>
        <v>14</v>
      </c>
    </row>
    <row r="141" spans="1:11" s="39" customFormat="1" ht="16.5">
      <c r="A141" s="40" t="s">
        <v>47</v>
      </c>
      <c r="B141" s="17" t="s">
        <v>126</v>
      </c>
      <c r="C141" s="34">
        <f>D141+E141</f>
        <v>28</v>
      </c>
      <c r="D141" s="35">
        <v>20</v>
      </c>
      <c r="E141" s="36">
        <v>8</v>
      </c>
      <c r="F141" s="37">
        <v>12</v>
      </c>
      <c r="G141" s="35">
        <f>1468+80</f>
        <v>1548</v>
      </c>
      <c r="H141" s="35">
        <f>1545+95</f>
        <v>1640</v>
      </c>
      <c r="I141" s="64">
        <f t="shared" si="43"/>
        <v>77.4</v>
      </c>
      <c r="J141" s="64">
        <f t="shared" si="44"/>
        <v>82</v>
      </c>
      <c r="K141" s="65">
        <f t="shared" si="42"/>
        <v>-92</v>
      </c>
    </row>
    <row r="142" spans="1:12" s="39" customFormat="1" ht="16.5">
      <c r="A142" s="40" t="s">
        <v>47</v>
      </c>
      <c r="B142" s="17" t="s">
        <v>49</v>
      </c>
      <c r="C142" s="34">
        <f>D142+E142</f>
        <v>23</v>
      </c>
      <c r="D142" s="35">
        <v>20</v>
      </c>
      <c r="E142" s="36">
        <v>3</v>
      </c>
      <c r="F142" s="37">
        <v>17</v>
      </c>
      <c r="G142" s="35">
        <f>1397+67</f>
        <v>1464</v>
      </c>
      <c r="H142" s="35">
        <f>1679+83</f>
        <v>1762</v>
      </c>
      <c r="I142" s="64">
        <f t="shared" si="43"/>
        <v>73.2</v>
      </c>
      <c r="J142" s="64">
        <f t="shared" si="44"/>
        <v>88.1</v>
      </c>
      <c r="K142" s="65">
        <f t="shared" si="42"/>
        <v>-298</v>
      </c>
      <c r="L142" s="41"/>
    </row>
    <row r="143" spans="1:13" s="39" customFormat="1" ht="16.5">
      <c r="A143" s="40" t="s">
        <v>47</v>
      </c>
      <c r="B143" s="66" t="s">
        <v>108</v>
      </c>
      <c r="C143" s="34">
        <f>D143+E143</f>
        <v>22</v>
      </c>
      <c r="D143" s="35">
        <v>20</v>
      </c>
      <c r="E143" s="36">
        <v>2</v>
      </c>
      <c r="F143" s="37">
        <v>18</v>
      </c>
      <c r="G143" s="35">
        <f>1426+76</f>
        <v>1502</v>
      </c>
      <c r="H143" s="35">
        <v>1815</v>
      </c>
      <c r="I143" s="64">
        <f t="shared" si="43"/>
        <v>75.1</v>
      </c>
      <c r="J143" s="64">
        <f t="shared" si="44"/>
        <v>90.75</v>
      </c>
      <c r="K143" s="65">
        <f t="shared" si="42"/>
        <v>-313</v>
      </c>
      <c r="L143" s="41"/>
      <c r="M143" s="42">
        <f>SUM(I132:I143)/12</f>
        <v>83.07083333333334</v>
      </c>
    </row>
    <row r="144" spans="1:11" ht="16.5" customHeight="1">
      <c r="A144" s="40"/>
      <c r="C144" s="13"/>
      <c r="D144" s="33"/>
      <c r="E144" s="13"/>
      <c r="F144" s="13"/>
      <c r="G144" s="33"/>
      <c r="H144" s="33"/>
      <c r="I144" s="43"/>
      <c r="J144" s="43"/>
      <c r="K144" s="44"/>
    </row>
    <row r="145" spans="1:11" s="39" customFormat="1" ht="15.75">
      <c r="A145" s="33" t="s">
        <v>48</v>
      </c>
      <c r="B145" s="16" t="s">
        <v>99</v>
      </c>
      <c r="C145" s="34">
        <f>D145+E145</f>
        <v>36</v>
      </c>
      <c r="D145" s="35">
        <v>20</v>
      </c>
      <c r="E145" s="36">
        <v>16</v>
      </c>
      <c r="F145" s="37">
        <v>4</v>
      </c>
      <c r="G145" s="35">
        <f>1589+104</f>
        <v>1693</v>
      </c>
      <c r="H145" s="35">
        <v>1476</v>
      </c>
      <c r="I145" s="64">
        <f>G145/D145</f>
        <v>84.65</v>
      </c>
      <c r="J145" s="64">
        <f>H145/D145</f>
        <v>73.8</v>
      </c>
      <c r="K145" s="65">
        <f aca="true" t="shared" si="45" ref="K145:K156">G145-H145</f>
        <v>217</v>
      </c>
    </row>
    <row r="146" spans="1:11" s="39" customFormat="1" ht="15.75">
      <c r="A146" s="40" t="s">
        <v>48</v>
      </c>
      <c r="B146" s="52" t="s">
        <v>134</v>
      </c>
      <c r="C146" s="34">
        <f>D146+E146</f>
        <v>34</v>
      </c>
      <c r="D146" s="35">
        <v>20</v>
      </c>
      <c r="E146" s="36">
        <v>14</v>
      </c>
      <c r="F146" s="37">
        <v>6</v>
      </c>
      <c r="G146" s="35">
        <f>1495+78</f>
        <v>1573</v>
      </c>
      <c r="H146" s="35">
        <f>1311+70</f>
        <v>1381</v>
      </c>
      <c r="I146" s="64">
        <f aca="true" t="shared" si="46" ref="I146:I156">G146/D146</f>
        <v>78.65</v>
      </c>
      <c r="J146" s="64">
        <f aca="true" t="shared" si="47" ref="J146:J156">H146/D146</f>
        <v>69.05</v>
      </c>
      <c r="K146" s="65">
        <f t="shared" si="45"/>
        <v>192</v>
      </c>
    </row>
    <row r="147" spans="1:11" s="39" customFormat="1" ht="15.75">
      <c r="A147" s="40" t="s">
        <v>48</v>
      </c>
      <c r="B147" s="12" t="s">
        <v>67</v>
      </c>
      <c r="C147" s="34">
        <f>D147+E147</f>
        <v>33</v>
      </c>
      <c r="D147" s="35">
        <v>20</v>
      </c>
      <c r="E147" s="36">
        <v>13</v>
      </c>
      <c r="F147" s="37">
        <v>7</v>
      </c>
      <c r="G147" s="35">
        <f>1517+76</f>
        <v>1593</v>
      </c>
      <c r="H147" s="35">
        <f>1380+104</f>
        <v>1484</v>
      </c>
      <c r="I147" s="64">
        <f t="shared" si="46"/>
        <v>79.65</v>
      </c>
      <c r="J147" s="64">
        <f t="shared" si="47"/>
        <v>74.2</v>
      </c>
      <c r="K147" s="65">
        <f t="shared" si="45"/>
        <v>109</v>
      </c>
    </row>
    <row r="148" spans="1:11" s="39" customFormat="1" ht="15.75">
      <c r="A148" s="40" t="s">
        <v>48</v>
      </c>
      <c r="B148" s="53" t="s">
        <v>135</v>
      </c>
      <c r="C148" s="34">
        <f aca="true" t="shared" si="48" ref="C148:C156">D148+E148</f>
        <v>33</v>
      </c>
      <c r="D148" s="35">
        <v>20</v>
      </c>
      <c r="E148" s="36">
        <v>13</v>
      </c>
      <c r="F148" s="37">
        <v>7</v>
      </c>
      <c r="G148" s="35">
        <f>1577+87</f>
        <v>1664</v>
      </c>
      <c r="H148" s="35">
        <f>1377+44</f>
        <v>1421</v>
      </c>
      <c r="I148" s="64">
        <f t="shared" si="46"/>
        <v>83.2</v>
      </c>
      <c r="J148" s="64">
        <f t="shared" si="47"/>
        <v>71.05</v>
      </c>
      <c r="K148" s="65">
        <f t="shared" si="45"/>
        <v>243</v>
      </c>
    </row>
    <row r="149" spans="1:11" s="39" customFormat="1" ht="15.75">
      <c r="A149" s="40" t="s">
        <v>48</v>
      </c>
      <c r="B149" s="14" t="s">
        <v>46</v>
      </c>
      <c r="C149" s="34">
        <f t="shared" si="48"/>
        <v>32</v>
      </c>
      <c r="D149" s="35">
        <v>20</v>
      </c>
      <c r="E149" s="36">
        <v>12</v>
      </c>
      <c r="F149" s="37">
        <v>8</v>
      </c>
      <c r="G149" s="35">
        <f>1447+44</f>
        <v>1491</v>
      </c>
      <c r="H149" s="35">
        <f>1394+87</f>
        <v>1481</v>
      </c>
      <c r="I149" s="64">
        <f t="shared" si="46"/>
        <v>74.55</v>
      </c>
      <c r="J149" s="64">
        <f t="shared" si="47"/>
        <v>74.05</v>
      </c>
      <c r="K149" s="65">
        <f t="shared" si="45"/>
        <v>10</v>
      </c>
    </row>
    <row r="150" spans="1:11" s="39" customFormat="1" ht="15.75">
      <c r="A150" s="40" t="s">
        <v>48</v>
      </c>
      <c r="B150" s="14" t="s">
        <v>136</v>
      </c>
      <c r="C150" s="34">
        <f t="shared" si="48"/>
        <v>32</v>
      </c>
      <c r="D150" s="35">
        <v>20</v>
      </c>
      <c r="E150" s="36">
        <v>12</v>
      </c>
      <c r="F150" s="37">
        <v>8</v>
      </c>
      <c r="G150" s="35">
        <f>1493+80</f>
        <v>1573</v>
      </c>
      <c r="H150" s="35">
        <f>1503+77</f>
        <v>1580</v>
      </c>
      <c r="I150" s="64">
        <f t="shared" si="46"/>
        <v>78.65</v>
      </c>
      <c r="J150" s="64">
        <f t="shared" si="47"/>
        <v>79</v>
      </c>
      <c r="K150" s="65">
        <f t="shared" si="45"/>
        <v>-7</v>
      </c>
    </row>
    <row r="151" spans="1:11" s="39" customFormat="1" ht="15.75">
      <c r="A151" s="40" t="s">
        <v>48</v>
      </c>
      <c r="B151" s="53" t="s">
        <v>100</v>
      </c>
      <c r="C151" s="34">
        <f t="shared" si="48"/>
        <v>31</v>
      </c>
      <c r="D151" s="35">
        <v>20</v>
      </c>
      <c r="E151" s="36">
        <v>11</v>
      </c>
      <c r="F151" s="37">
        <v>9</v>
      </c>
      <c r="G151" s="35">
        <f>1447+91</f>
        <v>1538</v>
      </c>
      <c r="H151" s="35">
        <f>1404+59</f>
        <v>1463</v>
      </c>
      <c r="I151" s="64">
        <f t="shared" si="46"/>
        <v>76.9</v>
      </c>
      <c r="J151" s="64">
        <f t="shared" si="47"/>
        <v>73.15</v>
      </c>
      <c r="K151" s="65">
        <f t="shared" si="45"/>
        <v>75</v>
      </c>
    </row>
    <row r="152" spans="1:11" s="39" customFormat="1" ht="15.75">
      <c r="A152" s="40" t="s">
        <v>48</v>
      </c>
      <c r="B152" s="52" t="s">
        <v>101</v>
      </c>
      <c r="C152" s="34">
        <f t="shared" si="48"/>
        <v>29</v>
      </c>
      <c r="D152" s="35">
        <v>20</v>
      </c>
      <c r="E152" s="36">
        <v>9</v>
      </c>
      <c r="F152" s="37">
        <v>11</v>
      </c>
      <c r="G152" s="35">
        <f>1525+95</f>
        <v>1620</v>
      </c>
      <c r="H152" s="35">
        <f>1518+63</f>
        <v>1581</v>
      </c>
      <c r="I152" s="64">
        <f t="shared" si="46"/>
        <v>81</v>
      </c>
      <c r="J152" s="64">
        <f t="shared" si="47"/>
        <v>79.05</v>
      </c>
      <c r="K152" s="65">
        <f t="shared" si="45"/>
        <v>39</v>
      </c>
    </row>
    <row r="153" spans="1:11" s="39" customFormat="1" ht="15.75">
      <c r="A153" s="40" t="s">
        <v>48</v>
      </c>
      <c r="B153" s="12" t="s">
        <v>50</v>
      </c>
      <c r="C153" s="34">
        <f t="shared" si="48"/>
        <v>28</v>
      </c>
      <c r="D153" s="35">
        <v>20</v>
      </c>
      <c r="E153" s="36">
        <v>8</v>
      </c>
      <c r="F153" s="37">
        <v>12</v>
      </c>
      <c r="G153" s="35">
        <f>1419+70</f>
        <v>1489</v>
      </c>
      <c r="H153" s="35">
        <f>1469+78</f>
        <v>1547</v>
      </c>
      <c r="I153" s="64">
        <f t="shared" si="46"/>
        <v>74.45</v>
      </c>
      <c r="J153" s="64">
        <f t="shared" si="47"/>
        <v>77.35</v>
      </c>
      <c r="K153" s="65">
        <f t="shared" si="45"/>
        <v>-58</v>
      </c>
    </row>
    <row r="154" spans="1:11" s="39" customFormat="1" ht="16.5">
      <c r="A154" s="40" t="s">
        <v>48</v>
      </c>
      <c r="B154" s="17" t="s">
        <v>137</v>
      </c>
      <c r="C154" s="34">
        <f t="shared" si="48"/>
        <v>27</v>
      </c>
      <c r="D154" s="35">
        <v>20</v>
      </c>
      <c r="E154" s="36">
        <v>7</v>
      </c>
      <c r="F154" s="37">
        <v>13</v>
      </c>
      <c r="G154" s="35">
        <f>1381+59</f>
        <v>1440</v>
      </c>
      <c r="H154" s="35">
        <f>1495+91</f>
        <v>1586</v>
      </c>
      <c r="I154" s="64">
        <f t="shared" si="46"/>
        <v>72</v>
      </c>
      <c r="J154" s="64">
        <f t="shared" si="47"/>
        <v>79.3</v>
      </c>
      <c r="K154" s="65">
        <f t="shared" si="45"/>
        <v>-146</v>
      </c>
    </row>
    <row r="155" spans="1:11" s="39" customFormat="1" ht="16.5">
      <c r="A155" s="40" t="s">
        <v>48</v>
      </c>
      <c r="B155" s="58" t="s">
        <v>102</v>
      </c>
      <c r="C155" s="34">
        <f t="shared" si="48"/>
        <v>23</v>
      </c>
      <c r="D155" s="35">
        <v>20</v>
      </c>
      <c r="E155" s="36">
        <v>3</v>
      </c>
      <c r="F155" s="37">
        <v>17</v>
      </c>
      <c r="G155" s="35">
        <f>1253+63</f>
        <v>1316</v>
      </c>
      <c r="H155" s="35">
        <f>1495+95</f>
        <v>1590</v>
      </c>
      <c r="I155" s="64">
        <f t="shared" si="46"/>
        <v>65.8</v>
      </c>
      <c r="J155" s="64">
        <f t="shared" si="47"/>
        <v>79.5</v>
      </c>
      <c r="K155" s="65">
        <f t="shared" si="45"/>
        <v>-274</v>
      </c>
    </row>
    <row r="156" spans="1:13" s="39" customFormat="1" ht="16.5">
      <c r="A156" s="40" t="s">
        <v>48</v>
      </c>
      <c r="B156" s="59" t="s">
        <v>103</v>
      </c>
      <c r="C156" s="34">
        <f t="shared" si="48"/>
        <v>22</v>
      </c>
      <c r="D156" s="35">
        <v>20</v>
      </c>
      <c r="E156" s="36">
        <v>2</v>
      </c>
      <c r="F156" s="37">
        <v>18</v>
      </c>
      <c r="G156" s="35">
        <f>1299+77</f>
        <v>1376</v>
      </c>
      <c r="H156" s="35">
        <f>1696+80</f>
        <v>1776</v>
      </c>
      <c r="I156" s="64">
        <f t="shared" si="46"/>
        <v>68.8</v>
      </c>
      <c r="J156" s="64">
        <f t="shared" si="47"/>
        <v>88.8</v>
      </c>
      <c r="K156" s="65">
        <f t="shared" si="45"/>
        <v>-400</v>
      </c>
      <c r="L156" s="41"/>
      <c r="M156" s="42">
        <f>SUM(I145:I156)/12</f>
        <v>76.52499999999999</v>
      </c>
    </row>
    <row r="157" spans="1:11" ht="16.5" customHeight="1">
      <c r="A157" s="40"/>
      <c r="C157" s="13"/>
      <c r="D157" s="33"/>
      <c r="E157" s="13"/>
      <c r="F157" s="13"/>
      <c r="G157" s="33"/>
      <c r="H157" s="33"/>
      <c r="I157" s="33"/>
      <c r="J157" s="33"/>
      <c r="K157" s="44"/>
    </row>
    <row r="158" spans="3:13" ht="13.5" customHeight="1">
      <c r="C158" s="13"/>
      <c r="D158" s="33"/>
      <c r="E158" s="13"/>
      <c r="F158" s="13"/>
      <c r="G158" s="33">
        <f>SUM(G1:G156)</f>
        <v>225950</v>
      </c>
      <c r="H158" s="33">
        <f>SUM(H1:H156)</f>
        <v>225950</v>
      </c>
      <c r="I158" s="43">
        <f>SUM(I1:I156)/144</f>
        <v>78.5070175438596</v>
      </c>
      <c r="J158" s="43">
        <f>SUM(J1:J156)/144</f>
        <v>78.50590277777776</v>
      </c>
      <c r="K158" s="33">
        <f>SUM(K1:K156)</f>
        <v>0</v>
      </c>
      <c r="M158" s="51">
        <f>SUM(M1:M156)/12</f>
        <v>78.50701754385965</v>
      </c>
    </row>
    <row r="159" spans="3:11" ht="15.75">
      <c r="C159" s="13"/>
      <c r="D159" s="33"/>
      <c r="E159" s="13"/>
      <c r="F159" s="13"/>
      <c r="G159" s="33"/>
      <c r="H159" s="33"/>
      <c r="I159" s="33"/>
      <c r="J159" s="33"/>
      <c r="K159" s="33"/>
    </row>
    <row r="160" spans="3:11" ht="15.75">
      <c r="C160" s="13"/>
      <c r="D160" s="33"/>
      <c r="E160" s="13"/>
      <c r="F160" s="13"/>
      <c r="G160" s="33"/>
      <c r="H160" s="33"/>
      <c r="I160" s="33"/>
      <c r="J160" s="33"/>
      <c r="K160" s="33"/>
    </row>
    <row r="161" spans="3:11" ht="15.75">
      <c r="C161" s="13"/>
      <c r="D161" s="33"/>
      <c r="E161" s="13"/>
      <c r="F161" s="13"/>
      <c r="G161" s="33"/>
      <c r="H161" s="33"/>
      <c r="I161" s="33"/>
      <c r="J161" s="33"/>
      <c r="K161" s="33"/>
    </row>
    <row r="162" spans="3:11" ht="15.75">
      <c r="C162" s="13"/>
      <c r="D162" s="33"/>
      <c r="E162" s="13"/>
      <c r="F162" s="13"/>
      <c r="G162" s="33"/>
      <c r="H162" s="33"/>
      <c r="I162" s="33"/>
      <c r="J162" s="33"/>
      <c r="K162" s="33"/>
    </row>
    <row r="163" spans="3:11" ht="15.75">
      <c r="C163" s="13"/>
      <c r="D163" s="33"/>
      <c r="E163" s="13"/>
      <c r="F163" s="13"/>
      <c r="G163" s="33"/>
      <c r="H163" s="33"/>
      <c r="I163" s="33"/>
      <c r="J163" s="33"/>
      <c r="K163" s="33"/>
    </row>
    <row r="164" spans="3:11" ht="15.75">
      <c r="C164" s="13"/>
      <c r="D164" s="33"/>
      <c r="E164" s="13"/>
      <c r="F164" s="13"/>
      <c r="G164" s="33"/>
      <c r="H164" s="33"/>
      <c r="I164" s="33"/>
      <c r="J164" s="33"/>
      <c r="K164" s="33"/>
    </row>
    <row r="165" spans="3:11" ht="15.75">
      <c r="C165" s="13"/>
      <c r="D165" s="33"/>
      <c r="E165" s="13"/>
      <c r="F165" s="13"/>
      <c r="G165" s="33"/>
      <c r="H165" s="33"/>
      <c r="I165" s="33"/>
      <c r="J165" s="33"/>
      <c r="K165" s="33"/>
    </row>
    <row r="166" spans="3:11" ht="15.75">
      <c r="C166" s="13"/>
      <c r="D166" s="33"/>
      <c r="E166" s="13"/>
      <c r="F166" s="13"/>
      <c r="G166" s="33"/>
      <c r="H166" s="33"/>
      <c r="I166" s="33"/>
      <c r="J166" s="33"/>
      <c r="K166" s="33"/>
    </row>
    <row r="167" spans="3:11" ht="15.75">
      <c r="C167" s="13"/>
      <c r="D167" s="33"/>
      <c r="E167" s="13"/>
      <c r="F167" s="13"/>
      <c r="G167" s="33"/>
      <c r="H167" s="33"/>
      <c r="I167" s="33"/>
      <c r="J167" s="33"/>
      <c r="K167" s="33"/>
    </row>
    <row r="168" spans="7:8" ht="15.75">
      <c r="G168" s="33"/>
      <c r="H168" s="33"/>
    </row>
    <row r="169" spans="7:8" ht="15.75">
      <c r="G169" s="33"/>
      <c r="H169" s="33"/>
    </row>
    <row r="170" spans="7:8" ht="15.75">
      <c r="G170" s="33"/>
      <c r="H170" s="33"/>
    </row>
    <row r="171" spans="7:8" ht="15.75">
      <c r="G171" s="33"/>
      <c r="H171" s="33"/>
    </row>
    <row r="172" spans="7:8" ht="15.75">
      <c r="G172" s="33"/>
      <c r="H172" s="33"/>
    </row>
    <row r="173" spans="7:8" ht="15.75">
      <c r="G173" s="33"/>
      <c r="H173" s="33"/>
    </row>
  </sheetData>
  <printOptions gridLines="1" horizontalCentered="1"/>
  <pageMargins left="0.7874015748031497" right="0.7874015748031497" top="0.44" bottom="0.65" header="0.07874015748031496" footer="0.63"/>
  <pageSetup horizontalDpi="300" verticalDpi="300" orientation="portrait" paperSize="9" scale="96" r:id="rId1"/>
  <headerFooter alignWithMargins="0">
    <oddHeader>&amp;C&amp;A 2000-2001, fait après la journée n° 20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55"/>
  <sheetViews>
    <sheetView workbookViewId="0" topLeftCell="A1">
      <selection activeCell="A1" sqref="A1"/>
    </sheetView>
  </sheetViews>
  <sheetFormatPr defaultColWidth="11.00390625" defaultRowHeight="15.75"/>
  <cols>
    <col min="1" max="1" width="3.875" style="2" customWidth="1"/>
    <col min="2" max="2" width="2.625" style="0" customWidth="1"/>
    <col min="3" max="3" width="17.625" style="14" customWidth="1"/>
    <col min="4" max="4" width="1.875" style="0" bestFit="1" customWidth="1"/>
    <col min="5" max="5" width="4.00390625" style="0" customWidth="1"/>
    <col min="6" max="6" width="5.625" style="0" bestFit="1" customWidth="1"/>
    <col min="7" max="7" width="7.375" style="0" customWidth="1"/>
  </cols>
  <sheetData>
    <row r="1" spans="1:7" ht="15.75">
      <c r="A1" s="2">
        <v>1</v>
      </c>
      <c r="B1" s="40" t="s">
        <v>9</v>
      </c>
      <c r="C1" s="14" t="s">
        <v>127</v>
      </c>
      <c r="D1" s="34"/>
      <c r="E1" s="35">
        <v>20</v>
      </c>
      <c r="F1" s="35">
        <f>1912+110</f>
        <v>2022</v>
      </c>
      <c r="G1" s="64">
        <f aca="true" t="shared" si="0" ref="G1:G32">F1/E1</f>
        <v>101.1</v>
      </c>
    </row>
    <row r="2" spans="1:7" ht="15.75">
      <c r="A2" s="2">
        <f>A1+1</f>
        <v>2</v>
      </c>
      <c r="B2" s="33" t="s">
        <v>42</v>
      </c>
      <c r="C2" s="16" t="s">
        <v>62</v>
      </c>
      <c r="D2" s="34"/>
      <c r="E2" s="35">
        <v>20</v>
      </c>
      <c r="F2" s="35">
        <f>1729+108</f>
        <v>1837</v>
      </c>
      <c r="G2" s="64">
        <f t="shared" si="0"/>
        <v>91.85</v>
      </c>
    </row>
    <row r="3" spans="1:7" ht="15.75">
      <c r="A3" s="2">
        <f aca="true" t="shared" si="1" ref="A3:A18">A2+1</f>
        <v>3</v>
      </c>
      <c r="B3" s="40" t="s">
        <v>47</v>
      </c>
      <c r="C3" s="14" t="s">
        <v>66</v>
      </c>
      <c r="D3" s="34"/>
      <c r="E3" s="35">
        <v>20</v>
      </c>
      <c r="F3" s="35">
        <v>1837</v>
      </c>
      <c r="G3" s="64">
        <f t="shared" si="0"/>
        <v>91.85</v>
      </c>
    </row>
    <row r="4" spans="1:7" ht="15.75">
      <c r="A4" s="2">
        <f t="shared" si="1"/>
        <v>4</v>
      </c>
      <c r="B4" s="33" t="s">
        <v>47</v>
      </c>
      <c r="C4" s="50" t="s">
        <v>104</v>
      </c>
      <c r="D4" s="34"/>
      <c r="E4" s="35">
        <v>20</v>
      </c>
      <c r="F4" s="35">
        <f>1735+83</f>
        <v>1818</v>
      </c>
      <c r="G4" s="64">
        <f t="shared" si="0"/>
        <v>90.9</v>
      </c>
    </row>
    <row r="5" spans="1:7" ht="15.75">
      <c r="A5" s="2">
        <f t="shared" si="1"/>
        <v>5</v>
      </c>
      <c r="B5" s="40" t="s">
        <v>47</v>
      </c>
      <c r="C5" s="14" t="s">
        <v>125</v>
      </c>
      <c r="D5" s="34"/>
      <c r="E5" s="35">
        <v>20</v>
      </c>
      <c r="F5" s="35">
        <f>1732+79</f>
        <v>1811</v>
      </c>
      <c r="G5" s="64">
        <f t="shared" si="0"/>
        <v>90.55</v>
      </c>
    </row>
    <row r="6" spans="1:7" ht="15.75">
      <c r="A6" s="2">
        <f t="shared" si="1"/>
        <v>6</v>
      </c>
      <c r="B6" s="33" t="s">
        <v>9</v>
      </c>
      <c r="C6" s="16" t="s">
        <v>10</v>
      </c>
      <c r="D6" s="34"/>
      <c r="E6" s="35">
        <v>20</v>
      </c>
      <c r="F6" s="35">
        <f>1699+89</f>
        <v>1788</v>
      </c>
      <c r="G6" s="64">
        <f t="shared" si="0"/>
        <v>89.4</v>
      </c>
    </row>
    <row r="7" spans="1:7" ht="15.75">
      <c r="A7" s="2">
        <f t="shared" si="1"/>
        <v>7</v>
      </c>
      <c r="B7" s="33" t="s">
        <v>34</v>
      </c>
      <c r="C7" s="16" t="s">
        <v>153</v>
      </c>
      <c r="D7" s="34"/>
      <c r="E7" s="35">
        <v>20</v>
      </c>
      <c r="F7" s="35">
        <f>1687+94</f>
        <v>1781</v>
      </c>
      <c r="G7" s="64">
        <f t="shared" si="0"/>
        <v>89.05</v>
      </c>
    </row>
    <row r="8" spans="1:7" ht="15.75">
      <c r="A8" s="2">
        <f t="shared" si="1"/>
        <v>8</v>
      </c>
      <c r="B8" s="40" t="s">
        <v>26</v>
      </c>
      <c r="C8" s="14" t="s">
        <v>25</v>
      </c>
      <c r="D8" s="34"/>
      <c r="E8" s="35">
        <v>20</v>
      </c>
      <c r="F8" s="35">
        <f>1675+98</f>
        <v>1773</v>
      </c>
      <c r="G8" s="64">
        <f t="shared" si="0"/>
        <v>88.65</v>
      </c>
    </row>
    <row r="9" spans="1:7" ht="15.75">
      <c r="A9" s="2">
        <f t="shared" si="1"/>
        <v>9</v>
      </c>
      <c r="B9" s="40" t="s">
        <v>47</v>
      </c>
      <c r="C9" s="12" t="s">
        <v>167</v>
      </c>
      <c r="D9" s="34"/>
      <c r="E9" s="35">
        <v>20</v>
      </c>
      <c r="F9" s="35">
        <f>1661+95</f>
        <v>1756</v>
      </c>
      <c r="G9" s="64">
        <f t="shared" si="0"/>
        <v>87.8</v>
      </c>
    </row>
    <row r="10" spans="1:7" ht="15.75">
      <c r="A10" s="2">
        <f t="shared" si="1"/>
        <v>10</v>
      </c>
      <c r="B10" s="40" t="s">
        <v>22</v>
      </c>
      <c r="C10" s="14" t="s">
        <v>164</v>
      </c>
      <c r="D10" s="34"/>
      <c r="E10" s="35">
        <v>20</v>
      </c>
      <c r="F10" s="35">
        <f>1669+77</f>
        <v>1746</v>
      </c>
      <c r="G10" s="64">
        <f t="shared" si="0"/>
        <v>87.3</v>
      </c>
    </row>
    <row r="11" spans="1:7" ht="15.75">
      <c r="A11" s="2">
        <f t="shared" si="1"/>
        <v>11</v>
      </c>
      <c r="B11" s="40" t="s">
        <v>36</v>
      </c>
      <c r="C11" s="14" t="s">
        <v>150</v>
      </c>
      <c r="D11" s="34"/>
      <c r="E11" s="35">
        <v>20</v>
      </c>
      <c r="F11" s="35">
        <f>1624+116</f>
        <v>1740</v>
      </c>
      <c r="G11" s="64">
        <f t="shared" si="0"/>
        <v>87</v>
      </c>
    </row>
    <row r="12" spans="1:7" ht="15.75">
      <c r="A12" s="2">
        <f t="shared" si="1"/>
        <v>12</v>
      </c>
      <c r="B12" s="40" t="s">
        <v>42</v>
      </c>
      <c r="C12" s="14" t="s">
        <v>43</v>
      </c>
      <c r="D12" s="34"/>
      <c r="E12" s="35">
        <v>20</v>
      </c>
      <c r="F12" s="35">
        <f>1633+106</f>
        <v>1739</v>
      </c>
      <c r="G12" s="64">
        <f t="shared" si="0"/>
        <v>86.95</v>
      </c>
    </row>
    <row r="13" spans="1:7" ht="15.75">
      <c r="A13" s="2">
        <f t="shared" si="1"/>
        <v>13</v>
      </c>
      <c r="B13" s="33" t="s">
        <v>30</v>
      </c>
      <c r="C13" s="68" t="s">
        <v>60</v>
      </c>
      <c r="D13" s="34"/>
      <c r="E13" s="35">
        <v>20</v>
      </c>
      <c r="F13" s="35">
        <f>1667+67</f>
        <v>1734</v>
      </c>
      <c r="G13" s="64">
        <f t="shared" si="0"/>
        <v>86.7</v>
      </c>
    </row>
    <row r="14" spans="1:7" ht="15.75">
      <c r="A14" s="2">
        <f t="shared" si="1"/>
        <v>14</v>
      </c>
      <c r="B14" s="40" t="s">
        <v>9</v>
      </c>
      <c r="C14" s="52" t="s">
        <v>95</v>
      </c>
      <c r="D14" s="34"/>
      <c r="E14" s="35">
        <v>20</v>
      </c>
      <c r="F14" s="35">
        <f>1652+81</f>
        <v>1733</v>
      </c>
      <c r="G14" s="64">
        <f t="shared" si="0"/>
        <v>86.65</v>
      </c>
    </row>
    <row r="15" spans="1:7" ht="15.75">
      <c r="A15" s="2">
        <f t="shared" si="1"/>
        <v>15</v>
      </c>
      <c r="B15" s="40" t="s">
        <v>9</v>
      </c>
      <c r="C15" s="14" t="s">
        <v>55</v>
      </c>
      <c r="D15" s="34"/>
      <c r="E15" s="35">
        <v>20</v>
      </c>
      <c r="F15" s="35">
        <f>1640+91</f>
        <v>1731</v>
      </c>
      <c r="G15" s="64">
        <f t="shared" si="0"/>
        <v>86.55</v>
      </c>
    </row>
    <row r="16" spans="1:7" ht="15.75">
      <c r="A16" s="2">
        <f t="shared" si="1"/>
        <v>16</v>
      </c>
      <c r="B16" s="33" t="s">
        <v>19</v>
      </c>
      <c r="C16" s="49" t="s">
        <v>83</v>
      </c>
      <c r="D16" s="34"/>
      <c r="E16" s="35">
        <v>20</v>
      </c>
      <c r="F16" s="35">
        <f>1659+72</f>
        <v>1731</v>
      </c>
      <c r="G16" s="64">
        <f t="shared" si="0"/>
        <v>86.55</v>
      </c>
    </row>
    <row r="17" spans="1:7" ht="15.75">
      <c r="A17" s="2">
        <f t="shared" si="1"/>
        <v>17</v>
      </c>
      <c r="B17" s="40" t="s">
        <v>34</v>
      </c>
      <c r="C17" s="14" t="s">
        <v>59</v>
      </c>
      <c r="D17" s="34"/>
      <c r="E17" s="35">
        <v>20</v>
      </c>
      <c r="F17" s="35">
        <f>1653+78</f>
        <v>1731</v>
      </c>
      <c r="G17" s="64">
        <f t="shared" si="0"/>
        <v>86.55</v>
      </c>
    </row>
    <row r="18" spans="1:7" ht="15.75">
      <c r="A18" s="2">
        <f t="shared" si="1"/>
        <v>18</v>
      </c>
      <c r="B18" s="40" t="s">
        <v>19</v>
      </c>
      <c r="C18" s="12" t="s">
        <v>11</v>
      </c>
      <c r="D18" s="34"/>
      <c r="E18" s="35">
        <v>20</v>
      </c>
      <c r="F18" s="35">
        <v>1731</v>
      </c>
      <c r="G18" s="64">
        <f t="shared" si="0"/>
        <v>86.55</v>
      </c>
    </row>
    <row r="19" spans="1:7" ht="15.75">
      <c r="A19" s="2">
        <f aca="true" t="shared" si="2" ref="A19:A34">A18+1</f>
        <v>19</v>
      </c>
      <c r="B19" s="40" t="s">
        <v>42</v>
      </c>
      <c r="C19" s="14" t="s">
        <v>138</v>
      </c>
      <c r="D19" s="34"/>
      <c r="E19" s="35">
        <v>20</v>
      </c>
      <c r="F19" s="35">
        <f>1622+104</f>
        <v>1726</v>
      </c>
      <c r="G19" s="64">
        <f t="shared" si="0"/>
        <v>86.3</v>
      </c>
    </row>
    <row r="20" spans="1:7" ht="15.75">
      <c r="A20" s="2">
        <f t="shared" si="2"/>
        <v>20</v>
      </c>
      <c r="B20" s="40" t="s">
        <v>34</v>
      </c>
      <c r="C20" s="52" t="s">
        <v>122</v>
      </c>
      <c r="D20" s="34"/>
      <c r="E20" s="35">
        <v>20</v>
      </c>
      <c r="F20" s="35">
        <v>1722</v>
      </c>
      <c r="G20" s="64">
        <f t="shared" si="0"/>
        <v>86.1</v>
      </c>
    </row>
    <row r="21" spans="1:7" ht="15.75">
      <c r="A21" s="2">
        <f t="shared" si="2"/>
        <v>21</v>
      </c>
      <c r="B21" s="40" t="s">
        <v>38</v>
      </c>
      <c r="C21" s="14" t="s">
        <v>145</v>
      </c>
      <c r="D21" s="34"/>
      <c r="E21" s="35">
        <v>20</v>
      </c>
      <c r="F21" s="35">
        <f>1630+91</f>
        <v>1721</v>
      </c>
      <c r="G21" s="64">
        <f t="shared" si="0"/>
        <v>86.05</v>
      </c>
    </row>
    <row r="22" spans="1:7" ht="15.75">
      <c r="A22" s="2">
        <f t="shared" si="2"/>
        <v>22</v>
      </c>
      <c r="B22" s="40" t="s">
        <v>47</v>
      </c>
      <c r="C22" s="14" t="s">
        <v>44</v>
      </c>
      <c r="D22" s="34"/>
      <c r="E22" s="35">
        <v>20</v>
      </c>
      <c r="F22" s="35">
        <f>1643+74</f>
        <v>1717</v>
      </c>
      <c r="G22" s="64">
        <f t="shared" si="0"/>
        <v>85.85</v>
      </c>
    </row>
    <row r="23" spans="1:7" ht="15.75">
      <c r="A23" s="2">
        <f t="shared" si="2"/>
        <v>23</v>
      </c>
      <c r="B23" s="40" t="s">
        <v>9</v>
      </c>
      <c r="C23" s="12" t="s">
        <v>13</v>
      </c>
      <c r="D23" s="34"/>
      <c r="E23" s="35">
        <v>20</v>
      </c>
      <c r="F23" s="35">
        <f>1632+78</f>
        <v>1710</v>
      </c>
      <c r="G23" s="64">
        <f t="shared" si="0"/>
        <v>85.5</v>
      </c>
    </row>
    <row r="24" spans="1:7" ht="15.75">
      <c r="A24" s="2">
        <f t="shared" si="2"/>
        <v>24</v>
      </c>
      <c r="B24" s="40" t="s">
        <v>47</v>
      </c>
      <c r="C24" s="14" t="s">
        <v>107</v>
      </c>
      <c r="D24" s="34"/>
      <c r="E24" s="35">
        <v>20</v>
      </c>
      <c r="F24" s="35">
        <f>1617+91</f>
        <v>1708</v>
      </c>
      <c r="G24" s="64">
        <f t="shared" si="0"/>
        <v>85.4</v>
      </c>
    </row>
    <row r="25" spans="1:7" ht="15.75">
      <c r="A25" s="2">
        <f t="shared" si="2"/>
        <v>25</v>
      </c>
      <c r="B25" s="40" t="s">
        <v>38</v>
      </c>
      <c r="C25" s="12" t="s">
        <v>146</v>
      </c>
      <c r="D25" s="34"/>
      <c r="E25" s="35">
        <v>20</v>
      </c>
      <c r="F25" s="35">
        <f>1634+71</f>
        <v>1705</v>
      </c>
      <c r="G25" s="64">
        <f t="shared" si="0"/>
        <v>85.25</v>
      </c>
    </row>
    <row r="26" spans="1:7" ht="15.75">
      <c r="A26" s="2">
        <f t="shared" si="2"/>
        <v>26</v>
      </c>
      <c r="B26" s="40" t="s">
        <v>30</v>
      </c>
      <c r="C26" s="16" t="s">
        <v>158</v>
      </c>
      <c r="D26" s="34"/>
      <c r="E26" s="35">
        <v>20</v>
      </c>
      <c r="F26" s="35">
        <v>1701</v>
      </c>
      <c r="G26" s="64">
        <f t="shared" si="0"/>
        <v>85.05</v>
      </c>
    </row>
    <row r="27" spans="1:7" ht="15.75">
      <c r="A27" s="2">
        <f t="shared" si="2"/>
        <v>27</v>
      </c>
      <c r="B27" s="40" t="s">
        <v>26</v>
      </c>
      <c r="C27" s="14" t="s">
        <v>32</v>
      </c>
      <c r="D27" s="34"/>
      <c r="E27" s="35">
        <v>20</v>
      </c>
      <c r="F27" s="35">
        <f>1622+75</f>
        <v>1697</v>
      </c>
      <c r="G27" s="64">
        <f t="shared" si="0"/>
        <v>84.85</v>
      </c>
    </row>
    <row r="28" spans="1:7" ht="15.75">
      <c r="A28" s="2">
        <f t="shared" si="2"/>
        <v>28</v>
      </c>
      <c r="B28" s="33" t="s">
        <v>48</v>
      </c>
      <c r="C28" s="16" t="s">
        <v>99</v>
      </c>
      <c r="D28" s="34"/>
      <c r="E28" s="35">
        <v>20</v>
      </c>
      <c r="F28" s="35">
        <f>1589+104</f>
        <v>1693</v>
      </c>
      <c r="G28" s="64">
        <f t="shared" si="0"/>
        <v>84.65</v>
      </c>
    </row>
    <row r="29" spans="1:7" ht="15.75">
      <c r="A29" s="2">
        <f t="shared" si="2"/>
        <v>29</v>
      </c>
      <c r="B29" s="33" t="s">
        <v>15</v>
      </c>
      <c r="C29" s="23" t="s">
        <v>53</v>
      </c>
      <c r="D29" s="45"/>
      <c r="E29" s="46">
        <v>20</v>
      </c>
      <c r="F29" s="46">
        <f>1591+91</f>
        <v>1682</v>
      </c>
      <c r="G29" s="64">
        <f t="shared" si="0"/>
        <v>84.1</v>
      </c>
    </row>
    <row r="30" spans="1:7" ht="15.75">
      <c r="A30" s="2">
        <f t="shared" si="2"/>
        <v>30</v>
      </c>
      <c r="B30" s="40" t="s">
        <v>26</v>
      </c>
      <c r="C30" s="14" t="s">
        <v>73</v>
      </c>
      <c r="D30" s="34"/>
      <c r="E30" s="35">
        <v>20</v>
      </c>
      <c r="F30" s="35">
        <f>1603+77</f>
        <v>1680</v>
      </c>
      <c r="G30" s="64">
        <f t="shared" si="0"/>
        <v>84</v>
      </c>
    </row>
    <row r="31" spans="1:7" ht="15.75">
      <c r="A31" s="2">
        <f t="shared" si="2"/>
        <v>31</v>
      </c>
      <c r="B31" s="40" t="s">
        <v>26</v>
      </c>
      <c r="C31" s="56" t="s">
        <v>162</v>
      </c>
      <c r="D31" s="34"/>
      <c r="E31" s="35">
        <v>20</v>
      </c>
      <c r="F31" s="35">
        <v>1678</v>
      </c>
      <c r="G31" s="64">
        <f t="shared" si="0"/>
        <v>83.9</v>
      </c>
    </row>
    <row r="32" spans="1:7" ht="15.75">
      <c r="A32" s="2">
        <f t="shared" si="2"/>
        <v>32</v>
      </c>
      <c r="B32" s="40" t="s">
        <v>9</v>
      </c>
      <c r="C32" s="14" t="s">
        <v>17</v>
      </c>
      <c r="D32" s="34"/>
      <c r="E32" s="35">
        <v>20</v>
      </c>
      <c r="F32" s="35">
        <f>1594+83</f>
        <v>1677</v>
      </c>
      <c r="G32" s="64">
        <f t="shared" si="0"/>
        <v>83.85</v>
      </c>
    </row>
    <row r="33" spans="1:7" ht="15.75">
      <c r="A33" s="2">
        <f t="shared" si="2"/>
        <v>33</v>
      </c>
      <c r="B33" s="40" t="s">
        <v>36</v>
      </c>
      <c r="C33" s="14" t="s">
        <v>64</v>
      </c>
      <c r="D33" s="34"/>
      <c r="E33" s="35">
        <v>20</v>
      </c>
      <c r="F33" s="35">
        <f>1573+101</f>
        <v>1674</v>
      </c>
      <c r="G33" s="64">
        <f aca="true" t="shared" si="3" ref="G33:G64">F33/E33</f>
        <v>83.7</v>
      </c>
    </row>
    <row r="34" spans="1:7" ht="15.75">
      <c r="A34" s="2">
        <f t="shared" si="2"/>
        <v>34</v>
      </c>
      <c r="B34" s="40" t="s">
        <v>19</v>
      </c>
      <c r="C34" s="14" t="s">
        <v>84</v>
      </c>
      <c r="D34" s="34"/>
      <c r="E34" s="35">
        <v>20</v>
      </c>
      <c r="F34" s="35">
        <f>1584+88</f>
        <v>1672</v>
      </c>
      <c r="G34" s="64">
        <f t="shared" si="3"/>
        <v>83.6</v>
      </c>
    </row>
    <row r="35" spans="1:7" ht="15.75">
      <c r="A35" s="2">
        <f aca="true" t="shared" si="4" ref="A35:A50">A34+1</f>
        <v>35</v>
      </c>
      <c r="B35" s="40" t="s">
        <v>15</v>
      </c>
      <c r="C35" s="22" t="s">
        <v>130</v>
      </c>
      <c r="D35" s="45"/>
      <c r="E35" s="46">
        <v>20</v>
      </c>
      <c r="F35" s="46">
        <f>1590+78</f>
        <v>1668</v>
      </c>
      <c r="G35" s="64">
        <f t="shared" si="3"/>
        <v>83.4</v>
      </c>
    </row>
    <row r="36" spans="1:7" ht="15.75">
      <c r="A36" s="2">
        <f t="shared" si="4"/>
        <v>36</v>
      </c>
      <c r="B36" s="40" t="s">
        <v>19</v>
      </c>
      <c r="C36" s="14" t="s">
        <v>85</v>
      </c>
      <c r="D36" s="34"/>
      <c r="E36" s="35">
        <v>20</v>
      </c>
      <c r="F36" s="35">
        <v>1667</v>
      </c>
      <c r="G36" s="64">
        <f t="shared" si="3"/>
        <v>83.35</v>
      </c>
    </row>
    <row r="37" spans="1:7" ht="15.75">
      <c r="A37" s="2">
        <f t="shared" si="4"/>
        <v>37</v>
      </c>
      <c r="B37" s="40" t="s">
        <v>47</v>
      </c>
      <c r="C37" s="53" t="s">
        <v>106</v>
      </c>
      <c r="D37" s="34"/>
      <c r="E37" s="35">
        <v>20</v>
      </c>
      <c r="F37" s="35">
        <f>1599+66</f>
        <v>1665</v>
      </c>
      <c r="G37" s="64">
        <f t="shared" si="3"/>
        <v>83.25</v>
      </c>
    </row>
    <row r="38" spans="1:7" ht="15.75">
      <c r="A38" s="2">
        <f t="shared" si="4"/>
        <v>38</v>
      </c>
      <c r="B38" s="40" t="s">
        <v>48</v>
      </c>
      <c r="C38" s="53" t="s">
        <v>135</v>
      </c>
      <c r="D38" s="34"/>
      <c r="E38" s="35">
        <v>20</v>
      </c>
      <c r="F38" s="35">
        <f>1577+87</f>
        <v>1664</v>
      </c>
      <c r="G38" s="64">
        <f t="shared" si="3"/>
        <v>83.2</v>
      </c>
    </row>
    <row r="39" spans="1:7" ht="15.75">
      <c r="A39" s="2">
        <f t="shared" si="4"/>
        <v>39</v>
      </c>
      <c r="B39" s="40" t="s">
        <v>38</v>
      </c>
      <c r="C39" s="53" t="s">
        <v>144</v>
      </c>
      <c r="D39" s="34"/>
      <c r="E39" s="35">
        <v>20</v>
      </c>
      <c r="F39" s="35">
        <v>1658</v>
      </c>
      <c r="G39" s="64">
        <f t="shared" si="3"/>
        <v>82.9</v>
      </c>
    </row>
    <row r="40" spans="1:7" ht="15.75">
      <c r="A40" s="2">
        <f t="shared" si="4"/>
        <v>40</v>
      </c>
      <c r="B40" s="40" t="s">
        <v>9</v>
      </c>
      <c r="C40" s="53" t="s">
        <v>96</v>
      </c>
      <c r="D40" s="34"/>
      <c r="E40" s="35">
        <v>20</v>
      </c>
      <c r="F40" s="35">
        <f>1561+82</f>
        <v>1643</v>
      </c>
      <c r="G40" s="64">
        <f t="shared" si="3"/>
        <v>82.15</v>
      </c>
    </row>
    <row r="41" spans="1:7" ht="15.75">
      <c r="A41" s="2">
        <f t="shared" si="4"/>
        <v>41</v>
      </c>
      <c r="B41" s="40" t="s">
        <v>42</v>
      </c>
      <c r="C41" s="14" t="s">
        <v>140</v>
      </c>
      <c r="D41" s="34"/>
      <c r="E41" s="35">
        <v>20</v>
      </c>
      <c r="F41" s="35">
        <f>1572+68</f>
        <v>1640</v>
      </c>
      <c r="G41" s="64">
        <f t="shared" si="3"/>
        <v>82</v>
      </c>
    </row>
    <row r="42" spans="1:7" ht="15.75">
      <c r="A42" s="2">
        <f t="shared" si="4"/>
        <v>42</v>
      </c>
      <c r="B42" s="40" t="s">
        <v>42</v>
      </c>
      <c r="C42" s="57" t="s">
        <v>109</v>
      </c>
      <c r="D42" s="34"/>
      <c r="E42" s="35">
        <v>20</v>
      </c>
      <c r="F42" s="35">
        <f>1564+74</f>
        <v>1638</v>
      </c>
      <c r="G42" s="64">
        <f t="shared" si="3"/>
        <v>81.9</v>
      </c>
    </row>
    <row r="43" spans="1:7" ht="15.75">
      <c r="A43" s="2">
        <f t="shared" si="4"/>
        <v>43</v>
      </c>
      <c r="B43" s="40" t="s">
        <v>15</v>
      </c>
      <c r="C43" s="22" t="s">
        <v>14</v>
      </c>
      <c r="D43" s="45"/>
      <c r="E43" s="46">
        <v>20</v>
      </c>
      <c r="F43" s="46">
        <v>1637</v>
      </c>
      <c r="G43" s="64">
        <f t="shared" si="3"/>
        <v>81.85</v>
      </c>
    </row>
    <row r="44" spans="1:7" ht="16.5">
      <c r="A44" s="2">
        <f t="shared" si="4"/>
        <v>44</v>
      </c>
      <c r="B44" s="40" t="s">
        <v>22</v>
      </c>
      <c r="C44" s="17" t="s">
        <v>79</v>
      </c>
      <c r="D44" s="34"/>
      <c r="E44" s="35">
        <v>20</v>
      </c>
      <c r="F44" s="35">
        <f>1544+83</f>
        <v>1627</v>
      </c>
      <c r="G44" s="64">
        <f t="shared" si="3"/>
        <v>81.35</v>
      </c>
    </row>
    <row r="45" spans="1:7" ht="15.75">
      <c r="A45" s="2">
        <f t="shared" si="4"/>
        <v>45</v>
      </c>
      <c r="B45" s="40" t="s">
        <v>34</v>
      </c>
      <c r="C45" s="14" t="s">
        <v>27</v>
      </c>
      <c r="D45" s="34"/>
      <c r="E45" s="35">
        <v>20</v>
      </c>
      <c r="F45" s="35">
        <v>1623</v>
      </c>
      <c r="G45" s="64">
        <f t="shared" si="3"/>
        <v>81.15</v>
      </c>
    </row>
    <row r="46" spans="1:7" ht="15.75">
      <c r="A46" s="2">
        <f t="shared" si="4"/>
        <v>46</v>
      </c>
      <c r="B46" s="40" t="s">
        <v>34</v>
      </c>
      <c r="C46" s="14" t="s">
        <v>65</v>
      </c>
      <c r="D46" s="34"/>
      <c r="E46" s="35">
        <v>20</v>
      </c>
      <c r="F46" s="35">
        <f>1543+80</f>
        <v>1623</v>
      </c>
      <c r="G46" s="64">
        <f t="shared" si="3"/>
        <v>81.15</v>
      </c>
    </row>
    <row r="47" spans="1:7" ht="15.75">
      <c r="A47" s="2">
        <f t="shared" si="4"/>
        <v>47</v>
      </c>
      <c r="B47" s="40" t="s">
        <v>36</v>
      </c>
      <c r="C47" s="14" t="s">
        <v>116</v>
      </c>
      <c r="D47" s="34"/>
      <c r="E47" s="35">
        <v>20</v>
      </c>
      <c r="F47" s="35">
        <f>1559+62</f>
        <v>1621</v>
      </c>
      <c r="G47" s="64">
        <f t="shared" si="3"/>
        <v>81.05</v>
      </c>
    </row>
    <row r="48" spans="1:7" ht="15.75">
      <c r="A48" s="2">
        <f t="shared" si="4"/>
        <v>48</v>
      </c>
      <c r="B48" s="40" t="s">
        <v>48</v>
      </c>
      <c r="C48" s="52" t="s">
        <v>101</v>
      </c>
      <c r="D48" s="34"/>
      <c r="E48" s="35">
        <v>20</v>
      </c>
      <c r="F48" s="35">
        <f>1525+95</f>
        <v>1620</v>
      </c>
      <c r="G48" s="64">
        <f t="shared" si="3"/>
        <v>81</v>
      </c>
    </row>
    <row r="49" spans="1:7" ht="16.5">
      <c r="A49" s="2">
        <f t="shared" si="4"/>
        <v>49</v>
      </c>
      <c r="B49" s="40" t="s">
        <v>36</v>
      </c>
      <c r="C49" s="59" t="s">
        <v>121</v>
      </c>
      <c r="D49" s="34"/>
      <c r="E49" s="35">
        <v>20</v>
      </c>
      <c r="F49" s="35">
        <f>1526+91</f>
        <v>1617</v>
      </c>
      <c r="G49" s="64">
        <f t="shared" si="3"/>
        <v>80.85</v>
      </c>
    </row>
    <row r="50" spans="1:7" ht="15.75">
      <c r="A50" s="2">
        <f t="shared" si="4"/>
        <v>50</v>
      </c>
      <c r="B50" s="33" t="s">
        <v>26</v>
      </c>
      <c r="C50" s="16" t="s">
        <v>56</v>
      </c>
      <c r="D50" s="34"/>
      <c r="E50" s="35">
        <v>20</v>
      </c>
      <c r="F50" s="35">
        <f>1525+90</f>
        <v>1615</v>
      </c>
      <c r="G50" s="64">
        <f t="shared" si="3"/>
        <v>80.75</v>
      </c>
    </row>
    <row r="51" spans="1:7" ht="15.75">
      <c r="A51" s="2">
        <f aca="true" t="shared" si="5" ref="A51:A66">A50+1</f>
        <v>51</v>
      </c>
      <c r="B51" s="40" t="s">
        <v>19</v>
      </c>
      <c r="C51" s="52" t="s">
        <v>86</v>
      </c>
      <c r="D51" s="34"/>
      <c r="E51" s="35">
        <v>20</v>
      </c>
      <c r="F51" s="35">
        <f>1540+73</f>
        <v>1613</v>
      </c>
      <c r="G51" s="64">
        <f t="shared" si="3"/>
        <v>80.65</v>
      </c>
    </row>
    <row r="52" spans="1:7" ht="15.75">
      <c r="A52" s="2">
        <f t="shared" si="5"/>
        <v>52</v>
      </c>
      <c r="B52" s="40" t="s">
        <v>26</v>
      </c>
      <c r="C52" s="14" t="s">
        <v>31</v>
      </c>
      <c r="D52" s="34"/>
      <c r="E52" s="35">
        <v>20</v>
      </c>
      <c r="F52" s="35">
        <v>1613</v>
      </c>
      <c r="G52" s="64">
        <f t="shared" si="3"/>
        <v>80.65</v>
      </c>
    </row>
    <row r="53" spans="1:7" ht="15.75">
      <c r="A53" s="2">
        <f t="shared" si="5"/>
        <v>53</v>
      </c>
      <c r="B53" s="40" t="s">
        <v>22</v>
      </c>
      <c r="C53" s="12" t="s">
        <v>163</v>
      </c>
      <c r="D53" s="34"/>
      <c r="E53" s="35">
        <v>20</v>
      </c>
      <c r="F53" s="35">
        <f>1545+66</f>
        <v>1611</v>
      </c>
      <c r="G53" s="64">
        <f t="shared" si="3"/>
        <v>80.55</v>
      </c>
    </row>
    <row r="54" spans="1:7" ht="15.75">
      <c r="A54" s="2">
        <f t="shared" si="5"/>
        <v>54</v>
      </c>
      <c r="B54" s="40" t="s">
        <v>34</v>
      </c>
      <c r="C54" s="14" t="s">
        <v>155</v>
      </c>
      <c r="D54" s="34"/>
      <c r="E54" s="35">
        <v>20</v>
      </c>
      <c r="F54" s="35">
        <f>1520+90</f>
        <v>1610</v>
      </c>
      <c r="G54" s="64">
        <f t="shared" si="3"/>
        <v>80.5</v>
      </c>
    </row>
    <row r="55" spans="1:7" ht="15.75">
      <c r="A55" s="2">
        <f t="shared" si="5"/>
        <v>55</v>
      </c>
      <c r="B55" s="40" t="s">
        <v>15</v>
      </c>
      <c r="C55" s="22" t="s">
        <v>16</v>
      </c>
      <c r="D55" s="45"/>
      <c r="E55" s="46">
        <v>20</v>
      </c>
      <c r="F55" s="46">
        <f>1533+73</f>
        <v>1606</v>
      </c>
      <c r="G55" s="64">
        <f t="shared" si="3"/>
        <v>80.3</v>
      </c>
    </row>
    <row r="56" spans="1:7" ht="15.75">
      <c r="A56" s="2">
        <f t="shared" si="5"/>
        <v>56</v>
      </c>
      <c r="B56" s="40" t="s">
        <v>22</v>
      </c>
      <c r="C56" s="14" t="s">
        <v>57</v>
      </c>
      <c r="D56" s="34"/>
      <c r="E56" s="35">
        <v>20</v>
      </c>
      <c r="F56" s="35">
        <f>1534+72</f>
        <v>1606</v>
      </c>
      <c r="G56" s="64">
        <f t="shared" si="3"/>
        <v>80.3</v>
      </c>
    </row>
    <row r="57" spans="1:7" ht="15.75">
      <c r="A57" s="2">
        <f t="shared" si="5"/>
        <v>57</v>
      </c>
      <c r="B57" s="40" t="s">
        <v>30</v>
      </c>
      <c r="C57" s="53" t="s">
        <v>159</v>
      </c>
      <c r="D57" s="34"/>
      <c r="E57" s="35">
        <v>20</v>
      </c>
      <c r="F57" s="35">
        <f>1526+79</f>
        <v>1605</v>
      </c>
      <c r="G57" s="64">
        <f t="shared" si="3"/>
        <v>80.25</v>
      </c>
    </row>
    <row r="58" spans="1:7" ht="15.75">
      <c r="A58" s="2">
        <f t="shared" si="5"/>
        <v>58</v>
      </c>
      <c r="B58" s="40" t="s">
        <v>38</v>
      </c>
      <c r="C58" s="14" t="s">
        <v>41</v>
      </c>
      <c r="D58" s="34"/>
      <c r="E58" s="35">
        <v>20</v>
      </c>
      <c r="F58" s="35">
        <f>1525+80</f>
        <v>1605</v>
      </c>
      <c r="G58" s="64">
        <f t="shared" si="3"/>
        <v>80.25</v>
      </c>
    </row>
    <row r="59" spans="1:7" ht="15.75">
      <c r="A59" s="2">
        <f t="shared" si="5"/>
        <v>59</v>
      </c>
      <c r="B59" s="40" t="s">
        <v>30</v>
      </c>
      <c r="C59" s="14" t="s">
        <v>58</v>
      </c>
      <c r="D59" s="34"/>
      <c r="E59" s="35">
        <v>20</v>
      </c>
      <c r="F59" s="35">
        <f>1499+101</f>
        <v>1600</v>
      </c>
      <c r="G59" s="64">
        <f t="shared" si="3"/>
        <v>80</v>
      </c>
    </row>
    <row r="60" spans="1:7" ht="15.75">
      <c r="A60" s="2">
        <f t="shared" si="5"/>
        <v>60</v>
      </c>
      <c r="B60" s="40" t="s">
        <v>36</v>
      </c>
      <c r="C60" s="14" t="s">
        <v>119</v>
      </c>
      <c r="D60" s="34"/>
      <c r="E60" s="35">
        <v>20</v>
      </c>
      <c r="F60" s="35">
        <f>1513+82</f>
        <v>1595</v>
      </c>
      <c r="G60" s="64">
        <f t="shared" si="3"/>
        <v>79.75</v>
      </c>
    </row>
    <row r="61" spans="1:7" ht="15.75">
      <c r="A61" s="2">
        <f t="shared" si="5"/>
        <v>61</v>
      </c>
      <c r="B61" s="40" t="s">
        <v>48</v>
      </c>
      <c r="C61" s="12" t="s">
        <v>67</v>
      </c>
      <c r="D61" s="34"/>
      <c r="E61" s="35">
        <v>20</v>
      </c>
      <c r="F61" s="35">
        <f>1517+76</f>
        <v>1593</v>
      </c>
      <c r="G61" s="64">
        <f t="shared" si="3"/>
        <v>79.65</v>
      </c>
    </row>
    <row r="62" spans="1:7" ht="15.75">
      <c r="A62" s="2">
        <f t="shared" si="5"/>
        <v>62</v>
      </c>
      <c r="B62" s="40" t="s">
        <v>15</v>
      </c>
      <c r="C62" s="22" t="s">
        <v>54</v>
      </c>
      <c r="D62" s="45"/>
      <c r="E62" s="46">
        <v>20</v>
      </c>
      <c r="F62" s="46">
        <f>1522+70</f>
        <v>1592</v>
      </c>
      <c r="G62" s="64">
        <f t="shared" si="3"/>
        <v>79.6</v>
      </c>
    </row>
    <row r="63" spans="1:7" ht="15.75">
      <c r="A63" s="2">
        <f t="shared" si="5"/>
        <v>63</v>
      </c>
      <c r="B63" s="40" t="s">
        <v>30</v>
      </c>
      <c r="C63" s="14" t="s">
        <v>70</v>
      </c>
      <c r="D63" s="34"/>
      <c r="E63" s="35">
        <v>20</v>
      </c>
      <c r="F63" s="35">
        <v>1587</v>
      </c>
      <c r="G63" s="64">
        <f t="shared" si="3"/>
        <v>79.35</v>
      </c>
    </row>
    <row r="64" spans="1:7" ht="15.75">
      <c r="A64" s="2">
        <f t="shared" si="5"/>
        <v>64</v>
      </c>
      <c r="B64" s="40" t="s">
        <v>38</v>
      </c>
      <c r="C64" s="14" t="s">
        <v>63</v>
      </c>
      <c r="D64" s="34"/>
      <c r="E64" s="35">
        <v>20</v>
      </c>
      <c r="F64" s="35">
        <f>1485+102</f>
        <v>1587</v>
      </c>
      <c r="G64" s="64">
        <f t="shared" si="3"/>
        <v>79.35</v>
      </c>
    </row>
    <row r="65" spans="1:7" ht="15.75">
      <c r="A65" s="2">
        <f t="shared" si="5"/>
        <v>65</v>
      </c>
      <c r="B65" s="40" t="s">
        <v>42</v>
      </c>
      <c r="C65" s="14" t="s">
        <v>40</v>
      </c>
      <c r="D65" s="34"/>
      <c r="E65" s="35">
        <v>20</v>
      </c>
      <c r="F65" s="35">
        <f>1490+95</f>
        <v>1585</v>
      </c>
      <c r="G65" s="64">
        <f aca="true" t="shared" si="6" ref="G65:G96">F65/E65</f>
        <v>79.25</v>
      </c>
    </row>
    <row r="66" spans="1:7" ht="15.75">
      <c r="A66" s="2">
        <f t="shared" si="5"/>
        <v>66</v>
      </c>
      <c r="B66" s="40" t="s">
        <v>22</v>
      </c>
      <c r="C66" s="14" t="s">
        <v>78</v>
      </c>
      <c r="D66" s="34"/>
      <c r="E66" s="35">
        <v>20</v>
      </c>
      <c r="F66" s="35">
        <v>1579</v>
      </c>
      <c r="G66" s="64">
        <f t="shared" si="6"/>
        <v>78.95</v>
      </c>
    </row>
    <row r="67" spans="1:7" ht="15.75">
      <c r="A67" s="2">
        <f aca="true" t="shared" si="7" ref="A67:A82">A66+1</f>
        <v>67</v>
      </c>
      <c r="B67" s="40" t="s">
        <v>9</v>
      </c>
      <c r="C67" s="14" t="s">
        <v>128</v>
      </c>
      <c r="D67" s="34"/>
      <c r="E67" s="35">
        <v>20</v>
      </c>
      <c r="F67" s="35">
        <f>1490+88</f>
        <v>1578</v>
      </c>
      <c r="G67" s="64">
        <f t="shared" si="6"/>
        <v>78.9</v>
      </c>
    </row>
    <row r="68" spans="1:7" ht="15.75">
      <c r="A68" s="2">
        <f t="shared" si="7"/>
        <v>68</v>
      </c>
      <c r="B68" s="33" t="s">
        <v>38</v>
      </c>
      <c r="C68" s="50" t="s">
        <v>143</v>
      </c>
      <c r="D68" s="34"/>
      <c r="E68" s="35">
        <v>20</v>
      </c>
      <c r="F68" s="35">
        <f>1508+67</f>
        <v>1575</v>
      </c>
      <c r="G68" s="64">
        <f t="shared" si="6"/>
        <v>78.75</v>
      </c>
    </row>
    <row r="69" spans="1:7" ht="15.75">
      <c r="A69" s="2">
        <f t="shared" si="7"/>
        <v>69</v>
      </c>
      <c r="B69" s="40" t="s">
        <v>48</v>
      </c>
      <c r="C69" s="52" t="s">
        <v>134</v>
      </c>
      <c r="D69" s="34"/>
      <c r="E69" s="35">
        <v>20</v>
      </c>
      <c r="F69" s="35">
        <f>1495+78</f>
        <v>1573</v>
      </c>
      <c r="G69" s="64">
        <f t="shared" si="6"/>
        <v>78.65</v>
      </c>
    </row>
    <row r="70" spans="1:7" ht="15.75">
      <c r="A70" s="2">
        <f t="shared" si="7"/>
        <v>70</v>
      </c>
      <c r="B70" s="40" t="s">
        <v>48</v>
      </c>
      <c r="C70" s="14" t="s">
        <v>136</v>
      </c>
      <c r="D70" s="34"/>
      <c r="E70" s="35">
        <v>20</v>
      </c>
      <c r="F70" s="35">
        <f>1493+80</f>
        <v>1573</v>
      </c>
      <c r="G70" s="64">
        <f t="shared" si="6"/>
        <v>78.65</v>
      </c>
    </row>
    <row r="71" spans="1:7" ht="15.75">
      <c r="A71" s="2">
        <f t="shared" si="7"/>
        <v>71</v>
      </c>
      <c r="B71" s="40" t="s">
        <v>47</v>
      </c>
      <c r="C71" s="14" t="s">
        <v>45</v>
      </c>
      <c r="D71" s="34"/>
      <c r="E71" s="35">
        <v>20</v>
      </c>
      <c r="F71" s="35">
        <f>1494+72</f>
        <v>1566</v>
      </c>
      <c r="G71" s="64">
        <f t="shared" si="6"/>
        <v>78.3</v>
      </c>
    </row>
    <row r="72" spans="1:7" ht="16.5" thickBot="1">
      <c r="A72" s="2">
        <f t="shared" si="7"/>
        <v>72</v>
      </c>
      <c r="B72" s="40" t="s">
        <v>36</v>
      </c>
      <c r="C72" s="14" t="s">
        <v>149</v>
      </c>
      <c r="D72" s="34"/>
      <c r="E72" s="35">
        <v>19</v>
      </c>
      <c r="F72" s="35">
        <f>1407+79</f>
        <v>1486</v>
      </c>
      <c r="G72" s="64">
        <f t="shared" si="6"/>
        <v>78.21052631578948</v>
      </c>
    </row>
    <row r="73" spans="1:7" ht="15.75">
      <c r="A73" s="11">
        <f t="shared" si="7"/>
        <v>73</v>
      </c>
      <c r="B73" s="40" t="s">
        <v>15</v>
      </c>
      <c r="C73" s="22" t="s">
        <v>91</v>
      </c>
      <c r="D73" s="45"/>
      <c r="E73" s="46">
        <v>20</v>
      </c>
      <c r="F73" s="46">
        <f>1501+63</f>
        <v>1564</v>
      </c>
      <c r="G73" s="64">
        <f t="shared" si="6"/>
        <v>78.2</v>
      </c>
    </row>
    <row r="74" spans="1:7" ht="15.75">
      <c r="A74" s="2">
        <f t="shared" si="7"/>
        <v>74</v>
      </c>
      <c r="B74" s="40" t="s">
        <v>19</v>
      </c>
      <c r="C74" s="52" t="s">
        <v>88</v>
      </c>
      <c r="D74" s="34"/>
      <c r="E74" s="35">
        <v>20</v>
      </c>
      <c r="F74" s="35">
        <v>1559</v>
      </c>
      <c r="G74" s="64">
        <f t="shared" si="6"/>
        <v>77.95</v>
      </c>
    </row>
    <row r="75" spans="1:7" ht="16.5">
      <c r="A75" s="2">
        <f t="shared" si="7"/>
        <v>75</v>
      </c>
      <c r="B75" s="40" t="s">
        <v>36</v>
      </c>
      <c r="C75" s="17" t="s">
        <v>120</v>
      </c>
      <c r="D75" s="34"/>
      <c r="E75" s="35">
        <v>20</v>
      </c>
      <c r="F75" s="35">
        <f>1467+91</f>
        <v>1558</v>
      </c>
      <c r="G75" s="64">
        <f t="shared" si="6"/>
        <v>77.9</v>
      </c>
    </row>
    <row r="76" spans="1:7" ht="15.75">
      <c r="A76" s="2">
        <f t="shared" si="7"/>
        <v>76</v>
      </c>
      <c r="B76" s="33" t="s">
        <v>22</v>
      </c>
      <c r="C76" s="16" t="s">
        <v>28</v>
      </c>
      <c r="D76" s="34"/>
      <c r="E76" s="35">
        <v>20</v>
      </c>
      <c r="F76" s="35">
        <f>1473+84</f>
        <v>1557</v>
      </c>
      <c r="G76" s="64">
        <f t="shared" si="6"/>
        <v>77.85</v>
      </c>
    </row>
    <row r="77" spans="1:7" ht="15.75">
      <c r="A77" s="2">
        <f t="shared" si="7"/>
        <v>77</v>
      </c>
      <c r="B77" s="40" t="s">
        <v>30</v>
      </c>
      <c r="C77" s="12" t="s">
        <v>160</v>
      </c>
      <c r="D77" s="34"/>
      <c r="E77" s="35">
        <v>20</v>
      </c>
      <c r="F77" s="35">
        <f>1483+72</f>
        <v>1555</v>
      </c>
      <c r="G77" s="64">
        <f t="shared" si="6"/>
        <v>77.75</v>
      </c>
    </row>
    <row r="78" spans="1:7" ht="15.75">
      <c r="A78" s="2">
        <f t="shared" si="7"/>
        <v>78</v>
      </c>
      <c r="B78" s="40" t="s">
        <v>22</v>
      </c>
      <c r="C78" s="53" t="s">
        <v>76</v>
      </c>
      <c r="D78" s="34"/>
      <c r="E78" s="35">
        <v>20</v>
      </c>
      <c r="F78" s="35">
        <f>1477+74</f>
        <v>1551</v>
      </c>
      <c r="G78" s="64">
        <f t="shared" si="6"/>
        <v>77.55</v>
      </c>
    </row>
    <row r="79" spans="1:7" ht="15.75">
      <c r="A79" s="2">
        <f t="shared" si="7"/>
        <v>79</v>
      </c>
      <c r="B79" s="40" t="s">
        <v>26</v>
      </c>
      <c r="C79" s="14" t="s">
        <v>21</v>
      </c>
      <c r="D79" s="34"/>
      <c r="E79" s="35">
        <v>20</v>
      </c>
      <c r="F79" s="35">
        <f>1485+65</f>
        <v>1550</v>
      </c>
      <c r="G79" s="64">
        <f t="shared" si="6"/>
        <v>77.5</v>
      </c>
    </row>
    <row r="80" spans="1:7" ht="15.75">
      <c r="A80" s="2">
        <f t="shared" si="7"/>
        <v>80</v>
      </c>
      <c r="B80" s="40" t="s">
        <v>22</v>
      </c>
      <c r="C80" s="52" t="s">
        <v>77</v>
      </c>
      <c r="D80" s="34"/>
      <c r="E80" s="35">
        <v>20</v>
      </c>
      <c r="F80" s="35">
        <f>1462+87</f>
        <v>1549</v>
      </c>
      <c r="G80" s="64">
        <f t="shared" si="6"/>
        <v>77.45</v>
      </c>
    </row>
    <row r="81" spans="1:7" ht="15.75">
      <c r="A81" s="2">
        <f t="shared" si="7"/>
        <v>81</v>
      </c>
      <c r="B81" s="40" t="s">
        <v>34</v>
      </c>
      <c r="C81" s="12" t="s">
        <v>156</v>
      </c>
      <c r="D81" s="34"/>
      <c r="E81" s="35">
        <v>20</v>
      </c>
      <c r="F81" s="35">
        <f>1472+76</f>
        <v>1548</v>
      </c>
      <c r="G81" s="64">
        <f t="shared" si="6"/>
        <v>77.4</v>
      </c>
    </row>
    <row r="82" spans="1:7" ht="16.5">
      <c r="A82" s="2">
        <f t="shared" si="7"/>
        <v>82</v>
      </c>
      <c r="B82" s="40" t="s">
        <v>47</v>
      </c>
      <c r="C82" s="17" t="s">
        <v>126</v>
      </c>
      <c r="D82" s="34"/>
      <c r="E82" s="35">
        <v>20</v>
      </c>
      <c r="F82" s="35">
        <f>1468+80</f>
        <v>1548</v>
      </c>
      <c r="G82" s="64">
        <f t="shared" si="6"/>
        <v>77.4</v>
      </c>
    </row>
    <row r="83" spans="1:7" ht="15.75">
      <c r="A83" s="2">
        <f aca="true" t="shared" si="8" ref="A83:A98">A82+1</f>
        <v>83</v>
      </c>
      <c r="B83" s="40" t="s">
        <v>26</v>
      </c>
      <c r="C83" s="12" t="s">
        <v>20</v>
      </c>
      <c r="D83" s="34"/>
      <c r="E83" s="35">
        <v>20</v>
      </c>
      <c r="F83" s="35">
        <f>1449+97</f>
        <v>1546</v>
      </c>
      <c r="G83" s="64">
        <f t="shared" si="6"/>
        <v>77.3</v>
      </c>
    </row>
    <row r="84" spans="1:7" ht="16.5">
      <c r="A84" s="2">
        <f t="shared" si="8"/>
        <v>84</v>
      </c>
      <c r="B84" s="40" t="s">
        <v>38</v>
      </c>
      <c r="C84" s="17" t="s">
        <v>35</v>
      </c>
      <c r="D84" s="34"/>
      <c r="E84" s="35">
        <v>20</v>
      </c>
      <c r="F84" s="35">
        <f>1482+64</f>
        <v>1546</v>
      </c>
      <c r="G84" s="64">
        <f t="shared" si="6"/>
        <v>77.3</v>
      </c>
    </row>
    <row r="85" spans="1:7" ht="15.75">
      <c r="A85" s="2">
        <f t="shared" si="8"/>
        <v>85</v>
      </c>
      <c r="B85" s="40" t="s">
        <v>47</v>
      </c>
      <c r="C85" s="52" t="s">
        <v>105</v>
      </c>
      <c r="D85" s="34"/>
      <c r="E85" s="35">
        <v>20</v>
      </c>
      <c r="F85" s="35">
        <f>1481+64</f>
        <v>1545</v>
      </c>
      <c r="G85" s="64">
        <f t="shared" si="6"/>
        <v>77.25</v>
      </c>
    </row>
    <row r="86" spans="1:7" ht="15.75">
      <c r="A86" s="2">
        <f t="shared" si="8"/>
        <v>86</v>
      </c>
      <c r="B86" s="40" t="s">
        <v>36</v>
      </c>
      <c r="C86" s="52" t="s">
        <v>151</v>
      </c>
      <c r="D86" s="34"/>
      <c r="E86" s="35">
        <v>20</v>
      </c>
      <c r="F86" s="35">
        <f>1473+71</f>
        <v>1544</v>
      </c>
      <c r="G86" s="64">
        <f t="shared" si="6"/>
        <v>77.2</v>
      </c>
    </row>
    <row r="87" spans="1:7" ht="15.75">
      <c r="A87" s="2">
        <f t="shared" si="8"/>
        <v>87</v>
      </c>
      <c r="B87" s="40" t="s">
        <v>36</v>
      </c>
      <c r="C87" s="14" t="s">
        <v>37</v>
      </c>
      <c r="D87" s="34"/>
      <c r="E87" s="35">
        <v>20</v>
      </c>
      <c r="F87" s="35">
        <f>1498+45</f>
        <v>1543</v>
      </c>
      <c r="G87" s="64">
        <f t="shared" si="6"/>
        <v>77.15</v>
      </c>
    </row>
    <row r="88" spans="1:7" ht="15.75">
      <c r="A88" s="2">
        <f t="shared" si="8"/>
        <v>88</v>
      </c>
      <c r="B88" s="40" t="s">
        <v>22</v>
      </c>
      <c r="C88" s="52" t="s">
        <v>82</v>
      </c>
      <c r="D88" s="34"/>
      <c r="E88" s="35">
        <v>20</v>
      </c>
      <c r="F88" s="35">
        <v>1540</v>
      </c>
      <c r="G88" s="64">
        <f t="shared" si="6"/>
        <v>77</v>
      </c>
    </row>
    <row r="89" spans="1:7" ht="15.75">
      <c r="A89" s="2">
        <f t="shared" si="8"/>
        <v>89</v>
      </c>
      <c r="B89" s="40" t="s">
        <v>9</v>
      </c>
      <c r="C89" s="12" t="s">
        <v>129</v>
      </c>
      <c r="D89" s="34"/>
      <c r="E89" s="35">
        <v>20</v>
      </c>
      <c r="F89" s="35">
        <f>1458+80</f>
        <v>1538</v>
      </c>
      <c r="G89" s="64">
        <f t="shared" si="6"/>
        <v>76.9</v>
      </c>
    </row>
    <row r="90" spans="1:7" ht="15.75">
      <c r="A90" s="2">
        <f t="shared" si="8"/>
        <v>90</v>
      </c>
      <c r="B90" s="40" t="s">
        <v>48</v>
      </c>
      <c r="C90" s="53" t="s">
        <v>100</v>
      </c>
      <c r="D90" s="34"/>
      <c r="E90" s="35">
        <v>20</v>
      </c>
      <c r="F90" s="35">
        <f>1447+91</f>
        <v>1538</v>
      </c>
      <c r="G90" s="64">
        <f t="shared" si="6"/>
        <v>76.9</v>
      </c>
    </row>
    <row r="91" spans="1:7" ht="15.75">
      <c r="A91" s="2">
        <f t="shared" si="8"/>
        <v>91</v>
      </c>
      <c r="B91" s="40" t="s">
        <v>42</v>
      </c>
      <c r="C91" s="52" t="s">
        <v>139</v>
      </c>
      <c r="D91" s="34"/>
      <c r="E91" s="35">
        <v>20</v>
      </c>
      <c r="F91" s="35">
        <f>1459+75</f>
        <v>1534</v>
      </c>
      <c r="G91" s="64">
        <f t="shared" si="6"/>
        <v>76.7</v>
      </c>
    </row>
    <row r="92" spans="1:7" ht="15.75">
      <c r="A92" s="2">
        <f t="shared" si="8"/>
        <v>92</v>
      </c>
      <c r="B92" s="40" t="s">
        <v>15</v>
      </c>
      <c r="C92" s="22" t="s">
        <v>92</v>
      </c>
      <c r="D92" s="45"/>
      <c r="E92" s="46">
        <v>20</v>
      </c>
      <c r="F92" s="46">
        <f>1453+68</f>
        <v>1521</v>
      </c>
      <c r="G92" s="64">
        <f t="shared" si="6"/>
        <v>76.05</v>
      </c>
    </row>
    <row r="93" spans="1:7" ht="15.75">
      <c r="A93" s="2">
        <f t="shared" si="8"/>
        <v>93</v>
      </c>
      <c r="B93" s="40" t="s">
        <v>19</v>
      </c>
      <c r="C93" s="14" t="s">
        <v>87</v>
      </c>
      <c r="D93" s="34"/>
      <c r="E93" s="35">
        <v>20</v>
      </c>
      <c r="F93" s="35">
        <f>1442+75</f>
        <v>1517</v>
      </c>
      <c r="G93" s="64">
        <f t="shared" si="6"/>
        <v>75.85</v>
      </c>
    </row>
    <row r="94" spans="1:7" ht="15.75">
      <c r="A94" s="2">
        <f t="shared" si="8"/>
        <v>94</v>
      </c>
      <c r="B94" s="40" t="s">
        <v>15</v>
      </c>
      <c r="C94" s="54" t="s">
        <v>90</v>
      </c>
      <c r="D94" s="45"/>
      <c r="E94" s="46">
        <v>20</v>
      </c>
      <c r="F94" s="46">
        <f>1440+75</f>
        <v>1515</v>
      </c>
      <c r="G94" s="64">
        <f t="shared" si="6"/>
        <v>75.75</v>
      </c>
    </row>
    <row r="95" spans="1:7" ht="16.5">
      <c r="A95" s="2">
        <f t="shared" si="8"/>
        <v>95</v>
      </c>
      <c r="B95" s="40" t="s">
        <v>15</v>
      </c>
      <c r="C95" s="24" t="s">
        <v>68</v>
      </c>
      <c r="D95" s="45"/>
      <c r="E95" s="46">
        <v>20</v>
      </c>
      <c r="F95" s="46">
        <f>1435+77</f>
        <v>1512</v>
      </c>
      <c r="G95" s="64">
        <f t="shared" si="6"/>
        <v>75.6</v>
      </c>
    </row>
    <row r="96" spans="1:7" ht="16.5">
      <c r="A96" s="2">
        <f t="shared" si="8"/>
        <v>96</v>
      </c>
      <c r="B96" s="40" t="s">
        <v>19</v>
      </c>
      <c r="C96" s="60" t="s">
        <v>89</v>
      </c>
      <c r="D96" s="34"/>
      <c r="E96" s="35">
        <v>20</v>
      </c>
      <c r="F96" s="35">
        <f>1422+88</f>
        <v>1510</v>
      </c>
      <c r="G96" s="64">
        <f t="shared" si="6"/>
        <v>75.5</v>
      </c>
    </row>
    <row r="97" spans="1:7" ht="15.75">
      <c r="A97" s="2">
        <f t="shared" si="8"/>
        <v>97</v>
      </c>
      <c r="B97" s="40" t="s">
        <v>15</v>
      </c>
      <c r="C97" s="55" t="s">
        <v>93</v>
      </c>
      <c r="D97" s="45"/>
      <c r="E97" s="46">
        <v>20</v>
      </c>
      <c r="F97" s="46">
        <f>1453+56</f>
        <v>1509</v>
      </c>
      <c r="G97" s="64">
        <f aca="true" t="shared" si="9" ref="G97:G128">F97/E97</f>
        <v>75.45</v>
      </c>
    </row>
    <row r="98" spans="1:7" ht="16.5">
      <c r="A98" s="2">
        <f t="shared" si="8"/>
        <v>98</v>
      </c>
      <c r="B98" s="40" t="s">
        <v>9</v>
      </c>
      <c r="C98" s="17" t="s">
        <v>12</v>
      </c>
      <c r="D98" s="34"/>
      <c r="E98" s="35">
        <v>20</v>
      </c>
      <c r="F98" s="35">
        <f>1433+75</f>
        <v>1508</v>
      </c>
      <c r="G98" s="64">
        <f t="shared" si="9"/>
        <v>75.4</v>
      </c>
    </row>
    <row r="99" spans="1:7" ht="15.75">
      <c r="A99" s="2">
        <f aca="true" t="shared" si="10" ref="A99:A114">A98+1</f>
        <v>99</v>
      </c>
      <c r="B99" s="40" t="s">
        <v>38</v>
      </c>
      <c r="C99" s="53" t="s">
        <v>115</v>
      </c>
      <c r="D99" s="34"/>
      <c r="E99" s="35">
        <v>20</v>
      </c>
      <c r="F99" s="35">
        <f>1448+55</f>
        <v>1503</v>
      </c>
      <c r="G99" s="64">
        <f t="shared" si="9"/>
        <v>75.15</v>
      </c>
    </row>
    <row r="100" spans="1:7" ht="16.5">
      <c r="A100" s="2">
        <f t="shared" si="10"/>
        <v>100</v>
      </c>
      <c r="B100" s="40" t="s">
        <v>47</v>
      </c>
      <c r="C100" s="66" t="s">
        <v>108</v>
      </c>
      <c r="D100" s="34"/>
      <c r="E100" s="35">
        <v>20</v>
      </c>
      <c r="F100" s="35">
        <f>1426+76</f>
        <v>1502</v>
      </c>
      <c r="G100" s="64">
        <f t="shared" si="9"/>
        <v>75.1</v>
      </c>
    </row>
    <row r="101" spans="1:7" ht="15.75">
      <c r="A101" s="2">
        <f t="shared" si="10"/>
        <v>101</v>
      </c>
      <c r="B101" s="40" t="s">
        <v>22</v>
      </c>
      <c r="C101" s="52" t="s">
        <v>80</v>
      </c>
      <c r="D101" s="34"/>
      <c r="E101" s="35">
        <v>20</v>
      </c>
      <c r="F101" s="35">
        <f>1418+78</f>
        <v>1496</v>
      </c>
      <c r="G101" s="64">
        <f t="shared" si="9"/>
        <v>74.8</v>
      </c>
    </row>
    <row r="102" spans="1:7" ht="16.5">
      <c r="A102" s="2">
        <f t="shared" si="10"/>
        <v>102</v>
      </c>
      <c r="B102" s="40" t="s">
        <v>36</v>
      </c>
      <c r="C102" s="17" t="s">
        <v>152</v>
      </c>
      <c r="D102" s="34"/>
      <c r="E102" s="35">
        <v>20</v>
      </c>
      <c r="F102" s="35">
        <f>1417+79</f>
        <v>1496</v>
      </c>
      <c r="G102" s="64">
        <f t="shared" si="9"/>
        <v>74.8</v>
      </c>
    </row>
    <row r="103" spans="1:7" ht="15.75">
      <c r="A103" s="2">
        <f t="shared" si="10"/>
        <v>103</v>
      </c>
      <c r="B103" s="40" t="s">
        <v>48</v>
      </c>
      <c r="C103" s="14" t="s">
        <v>46</v>
      </c>
      <c r="D103" s="34"/>
      <c r="E103" s="35">
        <v>20</v>
      </c>
      <c r="F103" s="35">
        <f>1447+44</f>
        <v>1491</v>
      </c>
      <c r="G103" s="64">
        <f t="shared" si="9"/>
        <v>74.55</v>
      </c>
    </row>
    <row r="104" spans="1:7" ht="15.75">
      <c r="A104" s="2">
        <f t="shared" si="10"/>
        <v>104</v>
      </c>
      <c r="B104" s="40" t="s">
        <v>30</v>
      </c>
      <c r="C104" s="14" t="s">
        <v>61</v>
      </c>
      <c r="D104" s="34"/>
      <c r="E104" s="35">
        <v>20</v>
      </c>
      <c r="F104" s="35">
        <f>1397+93</f>
        <v>1490</v>
      </c>
      <c r="G104" s="64">
        <f t="shared" si="9"/>
        <v>74.5</v>
      </c>
    </row>
    <row r="105" spans="1:7" ht="15.75">
      <c r="A105" s="2">
        <f t="shared" si="10"/>
        <v>105</v>
      </c>
      <c r="B105" s="40" t="s">
        <v>42</v>
      </c>
      <c r="C105" s="52" t="s">
        <v>112</v>
      </c>
      <c r="D105" s="34"/>
      <c r="E105" s="35">
        <v>20</v>
      </c>
      <c r="F105" s="35">
        <f>1392+97</f>
        <v>1489</v>
      </c>
      <c r="G105" s="64">
        <f t="shared" si="9"/>
        <v>74.45</v>
      </c>
    </row>
    <row r="106" spans="1:7" ht="15.75">
      <c r="A106" s="2">
        <f t="shared" si="10"/>
        <v>106</v>
      </c>
      <c r="B106" s="40" t="s">
        <v>48</v>
      </c>
      <c r="C106" s="12" t="s">
        <v>50</v>
      </c>
      <c r="D106" s="34"/>
      <c r="E106" s="35">
        <v>20</v>
      </c>
      <c r="F106" s="35">
        <f>1419+70</f>
        <v>1489</v>
      </c>
      <c r="G106" s="64">
        <f t="shared" si="9"/>
        <v>74.45</v>
      </c>
    </row>
    <row r="107" spans="1:7" ht="15.75">
      <c r="A107" s="2">
        <f t="shared" si="10"/>
        <v>107</v>
      </c>
      <c r="B107" s="40" t="s">
        <v>34</v>
      </c>
      <c r="C107" s="52" t="s">
        <v>154</v>
      </c>
      <c r="D107" s="34"/>
      <c r="E107" s="35">
        <v>20</v>
      </c>
      <c r="F107" s="35">
        <f>1399+83</f>
        <v>1482</v>
      </c>
      <c r="G107" s="64">
        <f t="shared" si="9"/>
        <v>74.1</v>
      </c>
    </row>
    <row r="108" spans="1:7" ht="15.75">
      <c r="A108" s="2">
        <f t="shared" si="10"/>
        <v>108</v>
      </c>
      <c r="B108" s="40" t="s">
        <v>26</v>
      </c>
      <c r="C108" s="14" t="s">
        <v>33</v>
      </c>
      <c r="D108" s="34"/>
      <c r="E108" s="35">
        <v>20</v>
      </c>
      <c r="F108" s="35">
        <f>1410+70</f>
        <v>1480</v>
      </c>
      <c r="G108" s="64">
        <f t="shared" si="9"/>
        <v>74</v>
      </c>
    </row>
    <row r="109" spans="1:7" ht="16.5">
      <c r="A109" s="2">
        <f t="shared" si="10"/>
        <v>109</v>
      </c>
      <c r="B109" s="40" t="s">
        <v>34</v>
      </c>
      <c r="C109" s="58" t="s">
        <v>123</v>
      </c>
      <c r="D109" s="34"/>
      <c r="E109" s="35">
        <v>20</v>
      </c>
      <c r="F109" s="35">
        <f>1395+82</f>
        <v>1477</v>
      </c>
      <c r="G109" s="64">
        <f t="shared" si="9"/>
        <v>73.85</v>
      </c>
    </row>
    <row r="110" spans="1:7" ht="15.75">
      <c r="A110" s="2">
        <f t="shared" si="10"/>
        <v>110</v>
      </c>
      <c r="B110" s="40" t="s">
        <v>36</v>
      </c>
      <c r="C110" s="12" t="s">
        <v>118</v>
      </c>
      <c r="D110" s="34"/>
      <c r="E110" s="35">
        <v>20</v>
      </c>
      <c r="F110" s="35">
        <f>1395+82</f>
        <v>1477</v>
      </c>
      <c r="G110" s="64">
        <f t="shared" si="9"/>
        <v>73.85</v>
      </c>
    </row>
    <row r="111" spans="1:7" ht="16.5">
      <c r="A111" s="2">
        <f t="shared" si="10"/>
        <v>111</v>
      </c>
      <c r="B111" s="40" t="s">
        <v>19</v>
      </c>
      <c r="C111" s="17" t="s">
        <v>23</v>
      </c>
      <c r="D111" s="34"/>
      <c r="E111" s="35">
        <v>20</v>
      </c>
      <c r="F111" s="35">
        <f>1391+83</f>
        <v>1474</v>
      </c>
      <c r="G111" s="64">
        <f t="shared" si="9"/>
        <v>73.7</v>
      </c>
    </row>
    <row r="112" spans="1:7" ht="16.5">
      <c r="A112" s="2">
        <f t="shared" si="10"/>
        <v>112</v>
      </c>
      <c r="B112" s="40" t="s">
        <v>30</v>
      </c>
      <c r="C112" s="58" t="s">
        <v>71</v>
      </c>
      <c r="D112" s="34"/>
      <c r="E112" s="35">
        <v>20</v>
      </c>
      <c r="F112" s="35">
        <f>1403+62</f>
        <v>1465</v>
      </c>
      <c r="G112" s="64">
        <f t="shared" si="9"/>
        <v>73.25</v>
      </c>
    </row>
    <row r="113" spans="1:7" ht="15.75">
      <c r="A113" s="2">
        <f t="shared" si="10"/>
        <v>113</v>
      </c>
      <c r="B113" s="40" t="s">
        <v>38</v>
      </c>
      <c r="C113" s="14" t="s">
        <v>113</v>
      </c>
      <c r="D113" s="34"/>
      <c r="E113" s="35">
        <v>20</v>
      </c>
      <c r="F113" s="35">
        <f>1393+72</f>
        <v>1465</v>
      </c>
      <c r="G113" s="64">
        <f t="shared" si="9"/>
        <v>73.25</v>
      </c>
    </row>
    <row r="114" spans="1:7" ht="15.75">
      <c r="A114" s="2">
        <f t="shared" si="10"/>
        <v>114</v>
      </c>
      <c r="B114" s="40" t="s">
        <v>38</v>
      </c>
      <c r="C114" s="52" t="s">
        <v>114</v>
      </c>
      <c r="D114" s="34"/>
      <c r="E114" s="35">
        <v>20</v>
      </c>
      <c r="F114" s="35">
        <f>1391+74</f>
        <v>1465</v>
      </c>
      <c r="G114" s="64">
        <f t="shared" si="9"/>
        <v>73.25</v>
      </c>
    </row>
    <row r="115" spans="1:7" ht="16.5">
      <c r="A115" s="2">
        <f aca="true" t="shared" si="11" ref="A115:A130">A114+1</f>
        <v>115</v>
      </c>
      <c r="B115" s="40" t="s">
        <v>47</v>
      </c>
      <c r="C115" s="17" t="s">
        <v>49</v>
      </c>
      <c r="D115" s="34"/>
      <c r="E115" s="35">
        <v>20</v>
      </c>
      <c r="F115" s="35">
        <f>1397+67</f>
        <v>1464</v>
      </c>
      <c r="G115" s="64">
        <f t="shared" si="9"/>
        <v>73.2</v>
      </c>
    </row>
    <row r="116" spans="1:7" ht="16.5">
      <c r="A116" s="2">
        <f t="shared" si="11"/>
        <v>116</v>
      </c>
      <c r="B116" s="40" t="s">
        <v>30</v>
      </c>
      <c r="C116" s="58" t="s">
        <v>72</v>
      </c>
      <c r="D116" s="34"/>
      <c r="E116" s="35">
        <v>20</v>
      </c>
      <c r="F116" s="35">
        <f>1387+71</f>
        <v>1458</v>
      </c>
      <c r="G116" s="64">
        <f t="shared" si="9"/>
        <v>72.9</v>
      </c>
    </row>
    <row r="117" spans="1:7" ht="15.75">
      <c r="A117" s="2">
        <f t="shared" si="11"/>
        <v>117</v>
      </c>
      <c r="B117" s="40" t="s">
        <v>30</v>
      </c>
      <c r="C117" s="14" t="s">
        <v>69</v>
      </c>
      <c r="D117" s="34"/>
      <c r="E117" s="35">
        <v>20</v>
      </c>
      <c r="F117" s="35">
        <v>1456</v>
      </c>
      <c r="G117" s="64">
        <f t="shared" si="9"/>
        <v>72.8</v>
      </c>
    </row>
    <row r="118" spans="1:7" ht="16.5">
      <c r="A118" s="2">
        <f t="shared" si="11"/>
        <v>118</v>
      </c>
      <c r="B118" s="40" t="s">
        <v>30</v>
      </c>
      <c r="C118" s="59" t="s">
        <v>161</v>
      </c>
      <c r="D118" s="34"/>
      <c r="E118" s="35">
        <v>20</v>
      </c>
      <c r="F118" s="35">
        <f>1378+78</f>
        <v>1456</v>
      </c>
      <c r="G118" s="64">
        <f t="shared" si="9"/>
        <v>72.8</v>
      </c>
    </row>
    <row r="119" spans="1:7" ht="16.5">
      <c r="A119" s="2">
        <f t="shared" si="11"/>
        <v>119</v>
      </c>
      <c r="B119" s="40" t="s">
        <v>26</v>
      </c>
      <c r="C119" s="17" t="s">
        <v>74</v>
      </c>
      <c r="D119" s="34"/>
      <c r="E119" s="35">
        <v>20</v>
      </c>
      <c r="F119" s="35">
        <f>1387+65</f>
        <v>1452</v>
      </c>
      <c r="G119" s="64">
        <f t="shared" si="9"/>
        <v>72.6</v>
      </c>
    </row>
    <row r="120" spans="1:7" ht="15.75">
      <c r="A120" s="2">
        <f t="shared" si="11"/>
        <v>120</v>
      </c>
      <c r="B120" s="40" t="s">
        <v>19</v>
      </c>
      <c r="C120" s="14" t="s">
        <v>132</v>
      </c>
      <c r="D120" s="34"/>
      <c r="E120" s="35">
        <v>20</v>
      </c>
      <c r="F120" s="35">
        <f>1370+80</f>
        <v>1450</v>
      </c>
      <c r="G120" s="64">
        <f t="shared" si="9"/>
        <v>72.5</v>
      </c>
    </row>
    <row r="121" spans="1:7" ht="15.75">
      <c r="A121" s="2">
        <f t="shared" si="11"/>
        <v>121</v>
      </c>
      <c r="B121" s="40" t="s">
        <v>34</v>
      </c>
      <c r="C121" s="52" t="s">
        <v>157</v>
      </c>
      <c r="D121" s="34"/>
      <c r="E121" s="35">
        <v>20</v>
      </c>
      <c r="F121" s="35">
        <f>1357+92</f>
        <v>1449</v>
      </c>
      <c r="G121" s="64">
        <f t="shared" si="9"/>
        <v>72.45</v>
      </c>
    </row>
    <row r="122" spans="1:7" ht="16.5">
      <c r="A122" s="2">
        <f t="shared" si="11"/>
        <v>122</v>
      </c>
      <c r="B122" s="40" t="s">
        <v>15</v>
      </c>
      <c r="C122" s="24" t="s">
        <v>18</v>
      </c>
      <c r="D122" s="45"/>
      <c r="E122" s="46">
        <v>20</v>
      </c>
      <c r="F122" s="46">
        <f>1371+74</f>
        <v>1445</v>
      </c>
      <c r="G122" s="64">
        <f t="shared" si="9"/>
        <v>72.25</v>
      </c>
    </row>
    <row r="123" spans="1:7" ht="16.5">
      <c r="A123" s="2">
        <f t="shared" si="11"/>
        <v>123</v>
      </c>
      <c r="B123" s="40" t="s">
        <v>38</v>
      </c>
      <c r="C123" s="17" t="s">
        <v>147</v>
      </c>
      <c r="D123" s="34"/>
      <c r="E123" s="35">
        <v>20</v>
      </c>
      <c r="F123" s="35">
        <v>1443</v>
      </c>
      <c r="G123" s="64">
        <f t="shared" si="9"/>
        <v>72.15</v>
      </c>
    </row>
    <row r="124" spans="1:7" ht="16.5">
      <c r="A124" s="2">
        <f t="shared" si="11"/>
        <v>124</v>
      </c>
      <c r="B124" s="40" t="s">
        <v>48</v>
      </c>
      <c r="C124" s="17" t="s">
        <v>137</v>
      </c>
      <c r="D124" s="34"/>
      <c r="E124" s="35">
        <v>20</v>
      </c>
      <c r="F124" s="35">
        <f>1381+59</f>
        <v>1440</v>
      </c>
      <c r="G124" s="64">
        <f t="shared" si="9"/>
        <v>72</v>
      </c>
    </row>
    <row r="125" spans="1:7" ht="15.75">
      <c r="A125" s="2">
        <f t="shared" si="11"/>
        <v>125</v>
      </c>
      <c r="B125" s="33" t="s">
        <v>36</v>
      </c>
      <c r="C125" s="49" t="s">
        <v>117</v>
      </c>
      <c r="D125" s="34"/>
      <c r="E125" s="35">
        <v>19</v>
      </c>
      <c r="F125" s="35">
        <f>1292+76</f>
        <v>1368</v>
      </c>
      <c r="G125" s="64">
        <f t="shared" si="9"/>
        <v>72</v>
      </c>
    </row>
    <row r="126" spans="1:7" ht="16.5">
      <c r="A126" s="2">
        <f t="shared" si="11"/>
        <v>126</v>
      </c>
      <c r="B126" s="40" t="s">
        <v>22</v>
      </c>
      <c r="C126" s="17" t="s">
        <v>81</v>
      </c>
      <c r="D126" s="34"/>
      <c r="E126" s="35">
        <v>20</v>
      </c>
      <c r="F126" s="35">
        <f>1348+88</f>
        <v>1436</v>
      </c>
      <c r="G126" s="64">
        <f t="shared" si="9"/>
        <v>71.8</v>
      </c>
    </row>
    <row r="127" spans="1:7" ht="16.5">
      <c r="A127" s="2">
        <f t="shared" si="11"/>
        <v>127</v>
      </c>
      <c r="B127" s="40" t="s">
        <v>42</v>
      </c>
      <c r="C127" s="17" t="s">
        <v>110</v>
      </c>
      <c r="D127" s="34"/>
      <c r="E127" s="35">
        <v>20</v>
      </c>
      <c r="F127" s="35">
        <f>1335+92</f>
        <v>1427</v>
      </c>
      <c r="G127" s="64">
        <f t="shared" si="9"/>
        <v>71.35</v>
      </c>
    </row>
    <row r="128" spans="1:7" ht="16.5">
      <c r="A128" s="2">
        <f t="shared" si="11"/>
        <v>128</v>
      </c>
      <c r="B128" s="40" t="s">
        <v>9</v>
      </c>
      <c r="C128" s="58" t="s">
        <v>97</v>
      </c>
      <c r="D128" s="34"/>
      <c r="E128" s="35">
        <v>20</v>
      </c>
      <c r="F128" s="35">
        <f>1375+45</f>
        <v>1420</v>
      </c>
      <c r="G128" s="64">
        <f t="shared" si="9"/>
        <v>71</v>
      </c>
    </row>
    <row r="129" spans="1:7" ht="15.75">
      <c r="A129" s="2">
        <f t="shared" si="11"/>
        <v>129</v>
      </c>
      <c r="B129" s="40" t="s">
        <v>19</v>
      </c>
      <c r="C129" s="52" t="s">
        <v>131</v>
      </c>
      <c r="D129" s="34"/>
      <c r="E129" s="35">
        <v>20</v>
      </c>
      <c r="F129" s="35">
        <f>1334+77</f>
        <v>1411</v>
      </c>
      <c r="G129" s="64">
        <f aca="true" t="shared" si="12" ref="G129:G144">F129/E129</f>
        <v>70.55</v>
      </c>
    </row>
    <row r="130" spans="1:7" ht="16.5">
      <c r="A130" s="2">
        <f t="shared" si="11"/>
        <v>130</v>
      </c>
      <c r="B130" s="25" t="s">
        <v>38</v>
      </c>
      <c r="C130" s="59" t="s">
        <v>148</v>
      </c>
      <c r="D130" s="34"/>
      <c r="E130" s="35">
        <v>20</v>
      </c>
      <c r="F130" s="35">
        <f>1329+81</f>
        <v>1410</v>
      </c>
      <c r="G130" s="64">
        <f t="shared" si="12"/>
        <v>70.5</v>
      </c>
    </row>
    <row r="131" spans="1:7" ht="16.5">
      <c r="A131" s="2">
        <f aca="true" t="shared" si="13" ref="A131:A144">A130+1</f>
        <v>131</v>
      </c>
      <c r="B131" s="40" t="s">
        <v>42</v>
      </c>
      <c r="C131" s="60" t="s">
        <v>142</v>
      </c>
      <c r="D131" s="34"/>
      <c r="E131" s="35">
        <v>20</v>
      </c>
      <c r="F131" s="35">
        <f>1332+74</f>
        <v>1406</v>
      </c>
      <c r="G131" s="64">
        <f t="shared" si="12"/>
        <v>70.3</v>
      </c>
    </row>
    <row r="132" spans="1:7" ht="16.5">
      <c r="A132" s="2">
        <f t="shared" si="13"/>
        <v>132</v>
      </c>
      <c r="B132" s="40" t="s">
        <v>9</v>
      </c>
      <c r="C132" s="59" t="s">
        <v>98</v>
      </c>
      <c r="D132" s="34"/>
      <c r="E132" s="35">
        <v>20</v>
      </c>
      <c r="F132" s="35">
        <f>1337+53</f>
        <v>1390</v>
      </c>
      <c r="G132" s="64">
        <f t="shared" si="12"/>
        <v>69.5</v>
      </c>
    </row>
    <row r="133" spans="1:7" ht="16.5">
      <c r="A133" s="2">
        <f t="shared" si="13"/>
        <v>133</v>
      </c>
      <c r="B133" s="40" t="s">
        <v>26</v>
      </c>
      <c r="C133" s="59" t="s">
        <v>75</v>
      </c>
      <c r="D133" s="34"/>
      <c r="E133" s="35">
        <v>20</v>
      </c>
      <c r="F133" s="35">
        <f>1323+65</f>
        <v>1388</v>
      </c>
      <c r="G133" s="64">
        <f t="shared" si="12"/>
        <v>69.4</v>
      </c>
    </row>
    <row r="134" spans="1:7" ht="16.5">
      <c r="A134" s="2">
        <f t="shared" si="13"/>
        <v>134</v>
      </c>
      <c r="B134" s="40" t="s">
        <v>34</v>
      </c>
      <c r="C134" s="17" t="s">
        <v>39</v>
      </c>
      <c r="D134" s="34"/>
      <c r="E134" s="35">
        <v>20</v>
      </c>
      <c r="F134" s="35">
        <f>1307+76</f>
        <v>1383</v>
      </c>
      <c r="G134" s="64">
        <f t="shared" si="12"/>
        <v>69.15</v>
      </c>
    </row>
    <row r="135" spans="1:7" ht="15.75">
      <c r="A135" s="2">
        <f t="shared" si="13"/>
        <v>135</v>
      </c>
      <c r="B135" s="40" t="s">
        <v>42</v>
      </c>
      <c r="C135" s="14" t="s">
        <v>141</v>
      </c>
      <c r="D135" s="34"/>
      <c r="E135" s="35">
        <v>20</v>
      </c>
      <c r="F135" s="35">
        <f>1312+69</f>
        <v>1381</v>
      </c>
      <c r="G135" s="64">
        <f t="shared" si="12"/>
        <v>69.05</v>
      </c>
    </row>
    <row r="136" spans="1:7" ht="16.5">
      <c r="A136" s="2">
        <f t="shared" si="13"/>
        <v>136</v>
      </c>
      <c r="B136" s="40" t="s">
        <v>48</v>
      </c>
      <c r="C136" s="59" t="s">
        <v>103</v>
      </c>
      <c r="D136" s="34"/>
      <c r="E136" s="35">
        <v>20</v>
      </c>
      <c r="F136" s="35">
        <f>1299+77</f>
        <v>1376</v>
      </c>
      <c r="G136" s="64">
        <f t="shared" si="12"/>
        <v>68.8</v>
      </c>
    </row>
    <row r="137" spans="1:7" ht="15.75">
      <c r="A137" s="2">
        <f t="shared" si="13"/>
        <v>137</v>
      </c>
      <c r="B137" s="40" t="s">
        <v>30</v>
      </c>
      <c r="C137" s="14" t="s">
        <v>29</v>
      </c>
      <c r="D137" s="34"/>
      <c r="E137" s="35">
        <v>20</v>
      </c>
      <c r="F137" s="35">
        <f>1308+61</f>
        <v>1369</v>
      </c>
      <c r="G137" s="64">
        <f t="shared" si="12"/>
        <v>68.45</v>
      </c>
    </row>
    <row r="138" spans="1:7" ht="16.5">
      <c r="A138" s="2">
        <f t="shared" si="13"/>
        <v>138</v>
      </c>
      <c r="B138" s="40" t="s">
        <v>42</v>
      </c>
      <c r="C138" s="58" t="s">
        <v>111</v>
      </c>
      <c r="D138" s="34"/>
      <c r="E138" s="35">
        <v>20</v>
      </c>
      <c r="F138" s="35">
        <f>1310+51</f>
        <v>1361</v>
      </c>
      <c r="G138" s="64">
        <f t="shared" si="12"/>
        <v>68.05</v>
      </c>
    </row>
    <row r="139" spans="1:7" ht="16.5">
      <c r="A139" s="2">
        <f t="shared" si="13"/>
        <v>139</v>
      </c>
      <c r="B139" s="40" t="s">
        <v>15</v>
      </c>
      <c r="C139" s="61" t="s">
        <v>94</v>
      </c>
      <c r="D139" s="45"/>
      <c r="E139" s="46">
        <v>20</v>
      </c>
      <c r="F139" s="46">
        <f>1288+69</f>
        <v>1357</v>
      </c>
      <c r="G139" s="64">
        <f t="shared" si="12"/>
        <v>67.85</v>
      </c>
    </row>
    <row r="140" spans="1:7" ht="16.5">
      <c r="A140" s="2">
        <f t="shared" si="13"/>
        <v>140</v>
      </c>
      <c r="B140" s="40" t="s">
        <v>22</v>
      </c>
      <c r="C140" s="59" t="s">
        <v>165</v>
      </c>
      <c r="D140" s="34"/>
      <c r="E140" s="35">
        <v>20</v>
      </c>
      <c r="F140" s="35">
        <f>1291+62</f>
        <v>1353</v>
      </c>
      <c r="G140" s="64">
        <f t="shared" si="12"/>
        <v>67.65</v>
      </c>
    </row>
    <row r="141" spans="1:7" ht="16.5">
      <c r="A141" s="2">
        <f t="shared" si="13"/>
        <v>141</v>
      </c>
      <c r="B141" s="40" t="s">
        <v>26</v>
      </c>
      <c r="C141" s="17" t="s">
        <v>24</v>
      </c>
      <c r="D141" s="34"/>
      <c r="E141" s="35">
        <v>20</v>
      </c>
      <c r="F141" s="35">
        <f>1269+68</f>
        <v>1337</v>
      </c>
      <c r="G141" s="64">
        <f t="shared" si="12"/>
        <v>66.85</v>
      </c>
    </row>
    <row r="142" spans="1:7" ht="16.5">
      <c r="A142" s="2">
        <f t="shared" si="13"/>
        <v>142</v>
      </c>
      <c r="B142" s="40" t="s">
        <v>48</v>
      </c>
      <c r="C142" s="58" t="s">
        <v>102</v>
      </c>
      <c r="D142" s="34"/>
      <c r="E142" s="35">
        <v>20</v>
      </c>
      <c r="F142" s="35">
        <f>1253+63</f>
        <v>1316</v>
      </c>
      <c r="G142" s="64">
        <f t="shared" si="12"/>
        <v>65.8</v>
      </c>
    </row>
    <row r="143" spans="1:7" ht="16.5">
      <c r="A143" s="2">
        <f t="shared" si="13"/>
        <v>143</v>
      </c>
      <c r="B143" s="40" t="s">
        <v>19</v>
      </c>
      <c r="C143" s="17" t="s">
        <v>133</v>
      </c>
      <c r="D143" s="34"/>
      <c r="E143" s="35">
        <v>20</v>
      </c>
      <c r="F143" s="35">
        <f>1225+51</f>
        <v>1276</v>
      </c>
      <c r="G143" s="64">
        <f t="shared" si="12"/>
        <v>63.8</v>
      </c>
    </row>
    <row r="144" spans="1:7" ht="16.5">
      <c r="A144" s="2">
        <f t="shared" si="13"/>
        <v>144</v>
      </c>
      <c r="B144" s="40" t="s">
        <v>34</v>
      </c>
      <c r="C144" s="18" t="s">
        <v>124</v>
      </c>
      <c r="D144" s="34"/>
      <c r="E144" s="35">
        <v>20</v>
      </c>
      <c r="F144" s="35">
        <f>1095+65</f>
        <v>1160</v>
      </c>
      <c r="G144" s="64">
        <f t="shared" si="12"/>
        <v>58</v>
      </c>
    </row>
    <row r="145" spans="2:7" ht="15.75">
      <c r="B145" s="40"/>
      <c r="D145" s="13"/>
      <c r="E145" s="33"/>
      <c r="F145" s="33"/>
      <c r="G145" s="43"/>
    </row>
    <row r="146" spans="2:7" ht="15.75">
      <c r="B146" s="40"/>
      <c r="D146" s="13"/>
      <c r="E146" s="33"/>
      <c r="F146" s="33"/>
      <c r="G146" s="43"/>
    </row>
    <row r="147" spans="2:7" ht="15.75">
      <c r="B147" s="40"/>
      <c r="D147" s="13"/>
      <c r="E147" s="33"/>
      <c r="F147" s="33"/>
      <c r="G147" s="43"/>
    </row>
    <row r="148" spans="2:7" ht="15.75">
      <c r="B148" s="40"/>
      <c r="D148" s="13"/>
      <c r="E148" s="33"/>
      <c r="F148" s="33"/>
      <c r="G148" s="43"/>
    </row>
    <row r="149" spans="2:7" ht="15.75">
      <c r="B149" s="40"/>
      <c r="D149" s="13"/>
      <c r="E149" s="33"/>
      <c r="F149" s="33"/>
      <c r="G149" s="43"/>
    </row>
    <row r="150" spans="2:7" ht="15.75">
      <c r="B150" s="40"/>
      <c r="D150" s="13"/>
      <c r="E150" s="33"/>
      <c r="F150" s="33"/>
      <c r="G150" s="43"/>
    </row>
    <row r="151" spans="2:7" ht="15.75">
      <c r="B151" s="40"/>
      <c r="D151" s="13"/>
      <c r="E151" s="33"/>
      <c r="F151" s="33"/>
      <c r="G151" s="43"/>
    </row>
    <row r="152" spans="2:7" ht="15.75">
      <c r="B152" s="40"/>
      <c r="D152" s="13"/>
      <c r="E152" s="33"/>
      <c r="F152" s="33"/>
      <c r="G152" s="43"/>
    </row>
    <row r="153" spans="2:7" ht="15.75">
      <c r="B153" s="40"/>
      <c r="D153" s="13"/>
      <c r="E153" s="33"/>
      <c r="F153" s="33"/>
      <c r="G153" s="43"/>
    </row>
    <row r="154" spans="2:7" ht="15.75">
      <c r="B154" s="40"/>
      <c r="D154" s="13"/>
      <c r="E154" s="33"/>
      <c r="F154" s="33"/>
      <c r="G154" s="43"/>
    </row>
    <row r="155" spans="2:7" ht="15.75">
      <c r="B155" s="40"/>
      <c r="D155" s="13"/>
      <c r="E155" s="33"/>
      <c r="F155" s="33"/>
      <c r="G155" s="43"/>
    </row>
  </sheetData>
  <printOptions gridLines="1" horizontalCentered="1"/>
  <pageMargins left="0.7874015748031497" right="0.7874015748031497" top="0.42" bottom="0.83" header="0.19" footer="0.5118110236220472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155"/>
  <sheetViews>
    <sheetView workbookViewId="0" topLeftCell="A1">
      <selection activeCell="A1" sqref="A1"/>
    </sheetView>
  </sheetViews>
  <sheetFormatPr defaultColWidth="11.00390625" defaultRowHeight="15.75"/>
  <cols>
    <col min="1" max="1" width="3.875" style="0" customWidth="1"/>
    <col min="2" max="2" width="2.625" style="0" customWidth="1"/>
    <col min="3" max="3" width="17.625" style="0" customWidth="1"/>
    <col min="4" max="4" width="1.875" style="0" bestFit="1" customWidth="1"/>
    <col min="5" max="5" width="3.625" style="0" customWidth="1"/>
    <col min="6" max="6" width="5.625" style="0" bestFit="1" customWidth="1"/>
    <col min="7" max="7" width="6.125" style="0" bestFit="1" customWidth="1"/>
  </cols>
  <sheetData>
    <row r="1" spans="1:7" ht="15.75">
      <c r="A1">
        <v>1</v>
      </c>
      <c r="B1" s="40" t="s">
        <v>34</v>
      </c>
      <c r="C1" s="14" t="s">
        <v>27</v>
      </c>
      <c r="D1" s="34"/>
      <c r="E1" s="35">
        <v>20</v>
      </c>
      <c r="F1" s="35">
        <v>1278</v>
      </c>
      <c r="G1" s="64">
        <f aca="true" t="shared" si="0" ref="G1:G32">F1/E1</f>
        <v>63.9</v>
      </c>
    </row>
    <row r="2" spans="1:7" ht="15.75">
      <c r="A2">
        <f>A1+1</f>
        <v>2</v>
      </c>
      <c r="B2" s="33" t="s">
        <v>22</v>
      </c>
      <c r="C2" s="16" t="s">
        <v>28</v>
      </c>
      <c r="D2" s="34"/>
      <c r="E2" s="35">
        <v>20</v>
      </c>
      <c r="F2" s="35">
        <f>1210+77</f>
        <v>1287</v>
      </c>
      <c r="G2" s="64">
        <f t="shared" si="0"/>
        <v>64.35</v>
      </c>
    </row>
    <row r="3" spans="1:7" ht="15.75">
      <c r="A3">
        <f aca="true" t="shared" si="1" ref="A3:A18">A2+1</f>
        <v>3</v>
      </c>
      <c r="B3" s="33" t="s">
        <v>26</v>
      </c>
      <c r="C3" s="16" t="s">
        <v>56</v>
      </c>
      <c r="D3" s="34"/>
      <c r="E3" s="35">
        <v>20</v>
      </c>
      <c r="F3" s="35">
        <f>1275+65</f>
        <v>1340</v>
      </c>
      <c r="G3" s="64">
        <f t="shared" si="0"/>
        <v>67</v>
      </c>
    </row>
    <row r="4" spans="1:7" ht="15.75">
      <c r="A4">
        <f t="shared" si="1"/>
        <v>4</v>
      </c>
      <c r="B4" s="33" t="s">
        <v>9</v>
      </c>
      <c r="C4" s="16" t="s">
        <v>10</v>
      </c>
      <c r="D4" s="34"/>
      <c r="E4" s="35">
        <v>20</v>
      </c>
      <c r="F4" s="35">
        <f>1267+81</f>
        <v>1348</v>
      </c>
      <c r="G4" s="64">
        <f t="shared" si="0"/>
        <v>67.4</v>
      </c>
    </row>
    <row r="5" spans="1:7" ht="15.75">
      <c r="A5">
        <f t="shared" si="1"/>
        <v>5</v>
      </c>
      <c r="B5" s="33" t="s">
        <v>38</v>
      </c>
      <c r="C5" s="50" t="s">
        <v>143</v>
      </c>
      <c r="D5" s="34"/>
      <c r="E5" s="35">
        <v>20</v>
      </c>
      <c r="F5" s="35">
        <f>1278+72</f>
        <v>1350</v>
      </c>
      <c r="G5" s="64">
        <f t="shared" si="0"/>
        <v>67.5</v>
      </c>
    </row>
    <row r="6" spans="1:7" ht="15.75">
      <c r="A6">
        <f t="shared" si="1"/>
        <v>6</v>
      </c>
      <c r="B6" s="40" t="s">
        <v>30</v>
      </c>
      <c r="C6" s="14" t="s">
        <v>61</v>
      </c>
      <c r="D6" s="34"/>
      <c r="E6" s="35">
        <v>20</v>
      </c>
      <c r="F6" s="35">
        <f>1283+72</f>
        <v>1355</v>
      </c>
      <c r="G6" s="64">
        <f t="shared" si="0"/>
        <v>67.75</v>
      </c>
    </row>
    <row r="7" spans="1:7" ht="15.75">
      <c r="A7">
        <f t="shared" si="1"/>
        <v>7</v>
      </c>
      <c r="B7" s="40" t="s">
        <v>15</v>
      </c>
      <c r="C7" s="54" t="s">
        <v>90</v>
      </c>
      <c r="D7" s="45"/>
      <c r="E7" s="46">
        <v>20</v>
      </c>
      <c r="F7" s="46">
        <f>1283+73</f>
        <v>1356</v>
      </c>
      <c r="G7" s="64">
        <f t="shared" si="0"/>
        <v>67.8</v>
      </c>
    </row>
    <row r="8" spans="1:7" ht="15.75">
      <c r="A8">
        <f t="shared" si="1"/>
        <v>8</v>
      </c>
      <c r="B8" s="33" t="s">
        <v>36</v>
      </c>
      <c r="C8" s="49" t="s">
        <v>117</v>
      </c>
      <c r="D8" s="34"/>
      <c r="E8" s="35">
        <v>19</v>
      </c>
      <c r="F8" s="35">
        <f>1219+71</f>
        <v>1290</v>
      </c>
      <c r="G8" s="64">
        <f t="shared" si="0"/>
        <v>67.89473684210526</v>
      </c>
    </row>
    <row r="9" spans="1:7" ht="15.75">
      <c r="A9">
        <f t="shared" si="1"/>
        <v>9</v>
      </c>
      <c r="B9" s="33" t="s">
        <v>19</v>
      </c>
      <c r="C9" s="49" t="s">
        <v>83</v>
      </c>
      <c r="D9" s="34"/>
      <c r="E9" s="35">
        <v>20</v>
      </c>
      <c r="F9" s="35">
        <f>1294+70</f>
        <v>1364</v>
      </c>
      <c r="G9" s="64">
        <f t="shared" si="0"/>
        <v>68.2</v>
      </c>
    </row>
    <row r="10" spans="1:7" ht="15.75">
      <c r="A10">
        <f t="shared" si="1"/>
        <v>10</v>
      </c>
      <c r="B10" s="40" t="s">
        <v>36</v>
      </c>
      <c r="C10" s="14" t="s">
        <v>116</v>
      </c>
      <c r="D10" s="34"/>
      <c r="E10" s="35">
        <v>20</v>
      </c>
      <c r="F10" s="35">
        <f>1328+45</f>
        <v>1373</v>
      </c>
      <c r="G10" s="64">
        <f t="shared" si="0"/>
        <v>68.65</v>
      </c>
    </row>
    <row r="11" spans="1:7" ht="15.75">
      <c r="A11">
        <f t="shared" si="1"/>
        <v>11</v>
      </c>
      <c r="B11" s="40" t="s">
        <v>48</v>
      </c>
      <c r="C11" s="52" t="s">
        <v>134</v>
      </c>
      <c r="D11" s="34"/>
      <c r="E11" s="35">
        <v>20</v>
      </c>
      <c r="F11" s="35">
        <f>1311+70</f>
        <v>1381</v>
      </c>
      <c r="G11" s="64">
        <f t="shared" si="0"/>
        <v>69.05</v>
      </c>
    </row>
    <row r="12" spans="1:7" ht="15.75">
      <c r="A12">
        <f t="shared" si="1"/>
        <v>12</v>
      </c>
      <c r="B12" s="40" t="s">
        <v>30</v>
      </c>
      <c r="C12" s="14" t="s">
        <v>58</v>
      </c>
      <c r="D12" s="34"/>
      <c r="E12" s="35">
        <v>20</v>
      </c>
      <c r="F12" s="35">
        <f>1316+71</f>
        <v>1387</v>
      </c>
      <c r="G12" s="64">
        <f t="shared" si="0"/>
        <v>69.35</v>
      </c>
    </row>
    <row r="13" spans="1:7" ht="15.75">
      <c r="A13">
        <f t="shared" si="1"/>
        <v>13</v>
      </c>
      <c r="B13" s="40" t="s">
        <v>26</v>
      </c>
      <c r="C13" s="14" t="s">
        <v>31</v>
      </c>
      <c r="D13" s="34"/>
      <c r="E13" s="35">
        <v>20</v>
      </c>
      <c r="F13" s="35">
        <v>1395</v>
      </c>
      <c r="G13" s="64">
        <f t="shared" si="0"/>
        <v>69.75</v>
      </c>
    </row>
    <row r="14" spans="1:7" ht="15.75">
      <c r="A14">
        <f t="shared" si="1"/>
        <v>14</v>
      </c>
      <c r="B14" s="40" t="s">
        <v>42</v>
      </c>
      <c r="C14" s="14" t="s">
        <v>138</v>
      </c>
      <c r="D14" s="34"/>
      <c r="E14" s="35">
        <v>20</v>
      </c>
      <c r="F14" s="35">
        <f>1334+74</f>
        <v>1408</v>
      </c>
      <c r="G14" s="64">
        <f t="shared" si="0"/>
        <v>70.4</v>
      </c>
    </row>
    <row r="15" spans="1:7" ht="15.75">
      <c r="A15">
        <f t="shared" si="1"/>
        <v>15</v>
      </c>
      <c r="B15" s="40" t="s">
        <v>30</v>
      </c>
      <c r="C15" s="53" t="s">
        <v>159</v>
      </c>
      <c r="D15" s="34"/>
      <c r="E15" s="35">
        <v>20</v>
      </c>
      <c r="F15" s="35">
        <f>1354+61</f>
        <v>1415</v>
      </c>
      <c r="G15" s="64">
        <f t="shared" si="0"/>
        <v>70.75</v>
      </c>
    </row>
    <row r="16" spans="1:7" ht="15.75">
      <c r="A16">
        <f t="shared" si="1"/>
        <v>16</v>
      </c>
      <c r="B16" s="40" t="s">
        <v>48</v>
      </c>
      <c r="C16" s="53" t="s">
        <v>135</v>
      </c>
      <c r="D16" s="34"/>
      <c r="E16" s="35">
        <v>20</v>
      </c>
      <c r="F16" s="35">
        <f>1377+44</f>
        <v>1421</v>
      </c>
      <c r="G16" s="64">
        <f t="shared" si="0"/>
        <v>71.05</v>
      </c>
    </row>
    <row r="17" spans="1:7" ht="15.75">
      <c r="A17">
        <f t="shared" si="1"/>
        <v>17</v>
      </c>
      <c r="B17" s="40" t="s">
        <v>30</v>
      </c>
      <c r="C17" s="14" t="s">
        <v>29</v>
      </c>
      <c r="D17" s="34"/>
      <c r="E17" s="35">
        <v>20</v>
      </c>
      <c r="F17" s="35">
        <f>1347+79</f>
        <v>1426</v>
      </c>
      <c r="G17" s="64">
        <f t="shared" si="0"/>
        <v>71.3</v>
      </c>
    </row>
    <row r="18" spans="1:7" ht="15.75">
      <c r="A18">
        <f t="shared" si="1"/>
        <v>18</v>
      </c>
      <c r="B18" s="40" t="s">
        <v>22</v>
      </c>
      <c r="C18" s="14" t="s">
        <v>57</v>
      </c>
      <c r="D18" s="34"/>
      <c r="E18" s="35">
        <v>20</v>
      </c>
      <c r="F18" s="35">
        <f>1364+66</f>
        <v>1430</v>
      </c>
      <c r="G18" s="64">
        <f t="shared" si="0"/>
        <v>71.5</v>
      </c>
    </row>
    <row r="19" spans="1:7" ht="15.75">
      <c r="A19">
        <f aca="true" t="shared" si="2" ref="A19:A34">A18+1</f>
        <v>19</v>
      </c>
      <c r="B19" s="40" t="s">
        <v>19</v>
      </c>
      <c r="C19" s="12" t="s">
        <v>11</v>
      </c>
      <c r="D19" s="34"/>
      <c r="E19" s="35">
        <v>20</v>
      </c>
      <c r="F19" s="35">
        <v>1432</v>
      </c>
      <c r="G19" s="64">
        <f t="shared" si="0"/>
        <v>71.6</v>
      </c>
    </row>
    <row r="20" spans="1:7" ht="15.75">
      <c r="A20">
        <f t="shared" si="2"/>
        <v>20</v>
      </c>
      <c r="B20" s="40" t="s">
        <v>15</v>
      </c>
      <c r="C20" s="22" t="s">
        <v>54</v>
      </c>
      <c r="D20" s="45"/>
      <c r="E20" s="46">
        <v>20</v>
      </c>
      <c r="F20" s="46">
        <f>1371+68</f>
        <v>1439</v>
      </c>
      <c r="G20" s="64">
        <f t="shared" si="0"/>
        <v>71.95</v>
      </c>
    </row>
    <row r="21" spans="1:7" ht="15.75">
      <c r="A21">
        <f t="shared" si="2"/>
        <v>21</v>
      </c>
      <c r="B21" s="33" t="s">
        <v>42</v>
      </c>
      <c r="C21" s="16" t="s">
        <v>62</v>
      </c>
      <c r="D21" s="34"/>
      <c r="E21" s="35">
        <v>20</v>
      </c>
      <c r="F21" s="35">
        <f>1377+74</f>
        <v>1451</v>
      </c>
      <c r="G21" s="64">
        <f t="shared" si="0"/>
        <v>72.55</v>
      </c>
    </row>
    <row r="22" spans="1:7" ht="15.75">
      <c r="A22">
        <f t="shared" si="2"/>
        <v>22</v>
      </c>
      <c r="B22" s="40" t="s">
        <v>19</v>
      </c>
      <c r="C22" s="52" t="s">
        <v>131</v>
      </c>
      <c r="D22" s="34"/>
      <c r="E22" s="35">
        <v>20</v>
      </c>
      <c r="F22" s="35">
        <f>1379+73</f>
        <v>1452</v>
      </c>
      <c r="G22" s="64">
        <f t="shared" si="0"/>
        <v>72.6</v>
      </c>
    </row>
    <row r="23" spans="1:7" ht="15.75">
      <c r="A23">
        <f t="shared" si="2"/>
        <v>23</v>
      </c>
      <c r="B23" s="33" t="s">
        <v>34</v>
      </c>
      <c r="C23" s="16" t="s">
        <v>153</v>
      </c>
      <c r="D23" s="34"/>
      <c r="E23" s="35">
        <v>20</v>
      </c>
      <c r="F23" s="35">
        <f>1380+76</f>
        <v>1456</v>
      </c>
      <c r="G23" s="64">
        <f t="shared" si="0"/>
        <v>72.8</v>
      </c>
    </row>
    <row r="24" spans="1:7" ht="15.75">
      <c r="A24">
        <f t="shared" si="2"/>
        <v>24</v>
      </c>
      <c r="B24" s="40" t="s">
        <v>22</v>
      </c>
      <c r="C24" s="52" t="s">
        <v>77</v>
      </c>
      <c r="D24" s="34"/>
      <c r="E24" s="35">
        <v>20</v>
      </c>
      <c r="F24" s="35">
        <f>1371+88</f>
        <v>1459</v>
      </c>
      <c r="G24" s="64">
        <f t="shared" si="0"/>
        <v>72.95</v>
      </c>
    </row>
    <row r="25" spans="1:7" ht="15.75">
      <c r="A25">
        <f t="shared" si="2"/>
        <v>25</v>
      </c>
      <c r="B25" s="40" t="s">
        <v>34</v>
      </c>
      <c r="C25" s="52" t="s">
        <v>154</v>
      </c>
      <c r="D25" s="34"/>
      <c r="E25" s="35">
        <v>20</v>
      </c>
      <c r="F25" s="35">
        <f>1384+76</f>
        <v>1460</v>
      </c>
      <c r="G25" s="64">
        <f t="shared" si="0"/>
        <v>73</v>
      </c>
    </row>
    <row r="26" spans="1:7" ht="15.75">
      <c r="A26">
        <f t="shared" si="2"/>
        <v>26</v>
      </c>
      <c r="B26" s="40" t="s">
        <v>19</v>
      </c>
      <c r="C26" s="14" t="s">
        <v>132</v>
      </c>
      <c r="D26" s="34"/>
      <c r="E26" s="35">
        <v>20</v>
      </c>
      <c r="F26" s="35">
        <f>1411+51</f>
        <v>1462</v>
      </c>
      <c r="G26" s="64">
        <f t="shared" si="0"/>
        <v>73.1</v>
      </c>
    </row>
    <row r="27" spans="1:7" ht="15.75">
      <c r="A27">
        <f t="shared" si="2"/>
        <v>27</v>
      </c>
      <c r="B27" s="40" t="s">
        <v>48</v>
      </c>
      <c r="C27" s="53" t="s">
        <v>100</v>
      </c>
      <c r="D27" s="34"/>
      <c r="E27" s="35">
        <v>20</v>
      </c>
      <c r="F27" s="35">
        <f>1404+59</f>
        <v>1463</v>
      </c>
      <c r="G27" s="64">
        <f t="shared" si="0"/>
        <v>73.15</v>
      </c>
    </row>
    <row r="28" spans="1:7" ht="15.75">
      <c r="A28">
        <f t="shared" si="2"/>
        <v>28</v>
      </c>
      <c r="B28" s="40" t="s">
        <v>34</v>
      </c>
      <c r="C28" s="14" t="s">
        <v>65</v>
      </c>
      <c r="D28" s="34"/>
      <c r="E28" s="35">
        <v>20</v>
      </c>
      <c r="F28" s="35">
        <f>1387+78</f>
        <v>1465</v>
      </c>
      <c r="G28" s="64">
        <f t="shared" si="0"/>
        <v>73.25</v>
      </c>
    </row>
    <row r="29" spans="1:7" ht="15.75">
      <c r="A29">
        <f t="shared" si="2"/>
        <v>29</v>
      </c>
      <c r="B29" s="33" t="s">
        <v>15</v>
      </c>
      <c r="C29" s="23" t="s">
        <v>53</v>
      </c>
      <c r="D29" s="45"/>
      <c r="E29" s="46">
        <v>20</v>
      </c>
      <c r="F29" s="46">
        <f>1395+78</f>
        <v>1473</v>
      </c>
      <c r="G29" s="64">
        <f t="shared" si="0"/>
        <v>73.65</v>
      </c>
    </row>
    <row r="30" spans="1:7" ht="15.75">
      <c r="A30">
        <f t="shared" si="2"/>
        <v>30</v>
      </c>
      <c r="B30" s="40" t="s">
        <v>19</v>
      </c>
      <c r="C30" s="14" t="s">
        <v>87</v>
      </c>
      <c r="D30" s="34"/>
      <c r="E30" s="35">
        <v>20</v>
      </c>
      <c r="F30" s="35">
        <f>1388+88</f>
        <v>1476</v>
      </c>
      <c r="G30" s="64">
        <f t="shared" si="0"/>
        <v>73.8</v>
      </c>
    </row>
    <row r="31" spans="1:7" ht="15.75">
      <c r="A31">
        <f t="shared" si="2"/>
        <v>31</v>
      </c>
      <c r="B31" s="33" t="s">
        <v>48</v>
      </c>
      <c r="C31" s="16" t="s">
        <v>99</v>
      </c>
      <c r="D31" s="34"/>
      <c r="E31" s="35">
        <v>20</v>
      </c>
      <c r="F31" s="35">
        <v>1476</v>
      </c>
      <c r="G31" s="64">
        <f t="shared" si="0"/>
        <v>73.8</v>
      </c>
    </row>
    <row r="32" spans="1:7" ht="15.75">
      <c r="A32">
        <f t="shared" si="2"/>
        <v>32</v>
      </c>
      <c r="B32" s="40" t="s">
        <v>38</v>
      </c>
      <c r="C32" s="14" t="s">
        <v>41</v>
      </c>
      <c r="D32" s="34"/>
      <c r="E32" s="35">
        <v>20</v>
      </c>
      <c r="F32" s="35">
        <f>1413+64</f>
        <v>1477</v>
      </c>
      <c r="G32" s="64">
        <f t="shared" si="0"/>
        <v>73.85</v>
      </c>
    </row>
    <row r="33" spans="1:7" ht="15.75">
      <c r="A33">
        <f t="shared" si="2"/>
        <v>33</v>
      </c>
      <c r="B33" s="40" t="s">
        <v>42</v>
      </c>
      <c r="C33" s="52" t="s">
        <v>139</v>
      </c>
      <c r="D33" s="34"/>
      <c r="E33" s="35">
        <v>20</v>
      </c>
      <c r="F33" s="35">
        <f>1412+68</f>
        <v>1480</v>
      </c>
      <c r="G33" s="64">
        <f aca="true" t="shared" si="3" ref="G33:G64">F33/E33</f>
        <v>74</v>
      </c>
    </row>
    <row r="34" spans="1:7" ht="15.75">
      <c r="A34">
        <f t="shared" si="2"/>
        <v>34</v>
      </c>
      <c r="B34" s="40" t="s">
        <v>15</v>
      </c>
      <c r="C34" s="22" t="s">
        <v>14</v>
      </c>
      <c r="D34" s="45"/>
      <c r="E34" s="46">
        <v>20</v>
      </c>
      <c r="F34" s="46">
        <v>1481</v>
      </c>
      <c r="G34" s="64">
        <f t="shared" si="3"/>
        <v>74.05</v>
      </c>
    </row>
    <row r="35" spans="1:7" ht="15.75">
      <c r="A35">
        <f aca="true" t="shared" si="4" ref="A35:A50">A34+1</f>
        <v>35</v>
      </c>
      <c r="B35" s="40" t="s">
        <v>48</v>
      </c>
      <c r="C35" s="14" t="s">
        <v>46</v>
      </c>
      <c r="D35" s="34"/>
      <c r="E35" s="35">
        <v>20</v>
      </c>
      <c r="F35" s="35">
        <f>1394+87</f>
        <v>1481</v>
      </c>
      <c r="G35" s="64">
        <f t="shared" si="3"/>
        <v>74.05</v>
      </c>
    </row>
    <row r="36" spans="1:7" ht="15.75">
      <c r="A36">
        <f t="shared" si="4"/>
        <v>36</v>
      </c>
      <c r="B36" s="40" t="s">
        <v>48</v>
      </c>
      <c r="C36" s="12" t="s">
        <v>67</v>
      </c>
      <c r="D36" s="34"/>
      <c r="E36" s="35">
        <v>20</v>
      </c>
      <c r="F36" s="35">
        <f>1380+104</f>
        <v>1484</v>
      </c>
      <c r="G36" s="64">
        <f t="shared" si="3"/>
        <v>74.2</v>
      </c>
    </row>
    <row r="37" spans="1:7" ht="15.75">
      <c r="A37">
        <f t="shared" si="4"/>
        <v>37</v>
      </c>
      <c r="B37" s="40" t="s">
        <v>22</v>
      </c>
      <c r="C37" s="53" t="s">
        <v>76</v>
      </c>
      <c r="D37" s="34"/>
      <c r="E37" s="35">
        <v>20</v>
      </c>
      <c r="F37" s="35">
        <v>1486</v>
      </c>
      <c r="G37" s="64">
        <f t="shared" si="3"/>
        <v>74.3</v>
      </c>
    </row>
    <row r="38" spans="1:7" ht="15.75">
      <c r="A38">
        <f t="shared" si="4"/>
        <v>38</v>
      </c>
      <c r="B38" s="40" t="s">
        <v>30</v>
      </c>
      <c r="C38" s="16" t="s">
        <v>158</v>
      </c>
      <c r="D38" s="34"/>
      <c r="E38" s="35">
        <v>20</v>
      </c>
      <c r="F38" s="35">
        <v>1486</v>
      </c>
      <c r="G38" s="64">
        <f t="shared" si="3"/>
        <v>74.3</v>
      </c>
    </row>
    <row r="39" spans="1:7" ht="15.75">
      <c r="A39">
        <f t="shared" si="4"/>
        <v>39</v>
      </c>
      <c r="B39" s="40" t="s">
        <v>34</v>
      </c>
      <c r="C39" s="14" t="s">
        <v>59</v>
      </c>
      <c r="D39" s="34"/>
      <c r="E39" s="35">
        <v>20</v>
      </c>
      <c r="F39" s="35">
        <f>1415+80</f>
        <v>1495</v>
      </c>
      <c r="G39" s="64">
        <f t="shared" si="3"/>
        <v>74.75</v>
      </c>
    </row>
    <row r="40" spans="1:7" ht="15.75">
      <c r="A40">
        <f t="shared" si="4"/>
        <v>40</v>
      </c>
      <c r="B40" s="40" t="s">
        <v>36</v>
      </c>
      <c r="C40" s="14" t="s">
        <v>64</v>
      </c>
      <c r="D40" s="34"/>
      <c r="E40" s="35">
        <v>20</v>
      </c>
      <c r="F40" s="35">
        <f>1412+91</f>
        <v>1503</v>
      </c>
      <c r="G40" s="64">
        <f t="shared" si="3"/>
        <v>75.15</v>
      </c>
    </row>
    <row r="41" spans="1:7" ht="15.75">
      <c r="A41">
        <f t="shared" si="4"/>
        <v>41</v>
      </c>
      <c r="B41" s="40" t="s">
        <v>9</v>
      </c>
      <c r="C41" s="14" t="s">
        <v>128</v>
      </c>
      <c r="D41" s="34"/>
      <c r="E41" s="35">
        <v>20</v>
      </c>
      <c r="F41" s="35">
        <f>1463+45</f>
        <v>1508</v>
      </c>
      <c r="G41" s="64">
        <f t="shared" si="3"/>
        <v>75.4</v>
      </c>
    </row>
    <row r="42" spans="1:7" ht="16.5">
      <c r="A42">
        <f t="shared" si="4"/>
        <v>42</v>
      </c>
      <c r="B42" s="40" t="s">
        <v>42</v>
      </c>
      <c r="C42" s="58" t="s">
        <v>111</v>
      </c>
      <c r="D42" s="34"/>
      <c r="E42" s="35">
        <v>20</v>
      </c>
      <c r="F42" s="35">
        <f>1440+69</f>
        <v>1509</v>
      </c>
      <c r="G42" s="64">
        <f t="shared" si="3"/>
        <v>75.45</v>
      </c>
    </row>
    <row r="43" spans="1:7" ht="15.75">
      <c r="A43">
        <f t="shared" si="4"/>
        <v>43</v>
      </c>
      <c r="B43" s="40" t="s">
        <v>38</v>
      </c>
      <c r="C43" s="14" t="s">
        <v>113</v>
      </c>
      <c r="D43" s="34"/>
      <c r="E43" s="35">
        <v>20</v>
      </c>
      <c r="F43" s="35">
        <f>1443+67</f>
        <v>1510</v>
      </c>
      <c r="G43" s="64">
        <f t="shared" si="3"/>
        <v>75.5</v>
      </c>
    </row>
    <row r="44" spans="1:7" ht="15.75">
      <c r="A44">
        <f t="shared" si="4"/>
        <v>44</v>
      </c>
      <c r="B44" s="40" t="s">
        <v>36</v>
      </c>
      <c r="C44" s="12" t="s">
        <v>118</v>
      </c>
      <c r="D44" s="34"/>
      <c r="E44" s="35">
        <v>20</v>
      </c>
      <c r="F44" s="35">
        <f>1433+79</f>
        <v>1512</v>
      </c>
      <c r="G44" s="64">
        <f t="shared" si="3"/>
        <v>75.6</v>
      </c>
    </row>
    <row r="45" spans="1:7" ht="16.5">
      <c r="A45">
        <f t="shared" si="4"/>
        <v>45</v>
      </c>
      <c r="B45" s="40" t="s">
        <v>26</v>
      </c>
      <c r="C45" s="17" t="s">
        <v>24</v>
      </c>
      <c r="D45" s="34"/>
      <c r="E45" s="35">
        <v>20</v>
      </c>
      <c r="F45" s="35">
        <f>1448+65</f>
        <v>1513</v>
      </c>
      <c r="G45" s="64">
        <f t="shared" si="3"/>
        <v>75.65</v>
      </c>
    </row>
    <row r="46" spans="1:7" ht="16.5">
      <c r="A46">
        <f t="shared" si="4"/>
        <v>46</v>
      </c>
      <c r="B46" s="40" t="s">
        <v>15</v>
      </c>
      <c r="C46" s="24" t="s">
        <v>18</v>
      </c>
      <c r="D46" s="45"/>
      <c r="E46" s="46">
        <v>20</v>
      </c>
      <c r="F46" s="46">
        <f>1441+77</f>
        <v>1518</v>
      </c>
      <c r="G46" s="64">
        <f t="shared" si="3"/>
        <v>75.9</v>
      </c>
    </row>
    <row r="47" spans="1:7" ht="15.75">
      <c r="A47">
        <f t="shared" si="4"/>
        <v>47</v>
      </c>
      <c r="B47" s="40" t="s">
        <v>26</v>
      </c>
      <c r="C47" s="12" t="s">
        <v>20</v>
      </c>
      <c r="D47" s="34"/>
      <c r="E47" s="35">
        <v>20</v>
      </c>
      <c r="F47" s="35">
        <f>1441+77</f>
        <v>1518</v>
      </c>
      <c r="G47" s="64">
        <f t="shared" si="3"/>
        <v>75.9</v>
      </c>
    </row>
    <row r="48" spans="1:7" ht="15.75">
      <c r="A48">
        <f t="shared" si="4"/>
        <v>48</v>
      </c>
      <c r="B48" s="40" t="s">
        <v>38</v>
      </c>
      <c r="C48" s="14" t="s">
        <v>145</v>
      </c>
      <c r="D48" s="34"/>
      <c r="E48" s="35">
        <v>20</v>
      </c>
      <c r="F48" s="35">
        <f>1448+74</f>
        <v>1522</v>
      </c>
      <c r="G48" s="64">
        <f t="shared" si="3"/>
        <v>76.1</v>
      </c>
    </row>
    <row r="49" spans="1:7" ht="15.75">
      <c r="A49">
        <f t="shared" si="4"/>
        <v>49</v>
      </c>
      <c r="B49" s="40" t="s">
        <v>38</v>
      </c>
      <c r="C49" s="53" t="s">
        <v>115</v>
      </c>
      <c r="D49" s="34"/>
      <c r="E49" s="35">
        <v>20</v>
      </c>
      <c r="F49" s="35">
        <f>1466+71</f>
        <v>1537</v>
      </c>
      <c r="G49" s="64">
        <f t="shared" si="3"/>
        <v>76.85</v>
      </c>
    </row>
    <row r="50" spans="1:7" ht="15.75">
      <c r="A50">
        <f t="shared" si="4"/>
        <v>50</v>
      </c>
      <c r="B50" s="40" t="s">
        <v>38</v>
      </c>
      <c r="C50" s="52" t="s">
        <v>114</v>
      </c>
      <c r="D50" s="34"/>
      <c r="E50" s="35">
        <v>20</v>
      </c>
      <c r="F50" s="35">
        <f>1446+91</f>
        <v>1537</v>
      </c>
      <c r="G50" s="64">
        <f t="shared" si="3"/>
        <v>76.85</v>
      </c>
    </row>
    <row r="51" spans="1:7" ht="15.75">
      <c r="A51">
        <f aca="true" t="shared" si="5" ref="A51:A66">A50+1</f>
        <v>51</v>
      </c>
      <c r="B51" s="40" t="s">
        <v>47</v>
      </c>
      <c r="C51" s="14" t="s">
        <v>125</v>
      </c>
      <c r="D51" s="34"/>
      <c r="E51" s="35">
        <v>20</v>
      </c>
      <c r="F51" s="35">
        <f>1450+91</f>
        <v>1541</v>
      </c>
      <c r="G51" s="64">
        <f t="shared" si="3"/>
        <v>77.05</v>
      </c>
    </row>
    <row r="52" spans="1:7" ht="15.75">
      <c r="A52">
        <f t="shared" si="5"/>
        <v>52</v>
      </c>
      <c r="B52" s="40" t="s">
        <v>42</v>
      </c>
      <c r="C52" s="14" t="s">
        <v>40</v>
      </c>
      <c r="D52" s="34"/>
      <c r="E52" s="35">
        <v>20</v>
      </c>
      <c r="F52" s="35">
        <f>1438+106</f>
        <v>1544</v>
      </c>
      <c r="G52" s="64">
        <f t="shared" si="3"/>
        <v>77.2</v>
      </c>
    </row>
    <row r="53" spans="1:7" ht="16.5">
      <c r="A53">
        <f t="shared" si="5"/>
        <v>53</v>
      </c>
      <c r="B53" s="40" t="s">
        <v>42</v>
      </c>
      <c r="C53" s="17" t="s">
        <v>110</v>
      </c>
      <c r="D53" s="34"/>
      <c r="E53" s="35">
        <v>20</v>
      </c>
      <c r="F53" s="35">
        <f>1447+97</f>
        <v>1544</v>
      </c>
      <c r="G53" s="64">
        <f t="shared" si="3"/>
        <v>77.2</v>
      </c>
    </row>
    <row r="54" spans="1:7" ht="15.75">
      <c r="A54">
        <f t="shared" si="5"/>
        <v>54</v>
      </c>
      <c r="B54" s="40" t="s">
        <v>48</v>
      </c>
      <c r="C54" s="12" t="s">
        <v>50</v>
      </c>
      <c r="D54" s="34"/>
      <c r="E54" s="35">
        <v>20</v>
      </c>
      <c r="F54" s="35">
        <f>1469+78</f>
        <v>1547</v>
      </c>
      <c r="G54" s="64">
        <f t="shared" si="3"/>
        <v>77.35</v>
      </c>
    </row>
    <row r="55" spans="1:7" ht="16.5">
      <c r="A55">
        <f t="shared" si="5"/>
        <v>55</v>
      </c>
      <c r="B55" s="40" t="s">
        <v>22</v>
      </c>
      <c r="C55" s="17" t="s">
        <v>81</v>
      </c>
      <c r="D55" s="34"/>
      <c r="E55" s="35">
        <v>20</v>
      </c>
      <c r="F55" s="35">
        <f>1461+87</f>
        <v>1548</v>
      </c>
      <c r="G55" s="64">
        <f t="shared" si="3"/>
        <v>77.4</v>
      </c>
    </row>
    <row r="56" spans="1:7" ht="15.75">
      <c r="A56">
        <f t="shared" si="5"/>
        <v>56</v>
      </c>
      <c r="B56" s="40" t="s">
        <v>47</v>
      </c>
      <c r="C56" s="14" t="s">
        <v>44</v>
      </c>
      <c r="D56" s="34"/>
      <c r="E56" s="35">
        <v>20</v>
      </c>
      <c r="F56" s="35">
        <f>1476+72</f>
        <v>1548</v>
      </c>
      <c r="G56" s="64">
        <f t="shared" si="3"/>
        <v>77.4</v>
      </c>
    </row>
    <row r="57" spans="1:7" ht="15.75">
      <c r="A57">
        <f t="shared" si="5"/>
        <v>57</v>
      </c>
      <c r="B57" s="40" t="s">
        <v>34</v>
      </c>
      <c r="C57" s="52" t="s">
        <v>157</v>
      </c>
      <c r="D57" s="34"/>
      <c r="E57" s="35">
        <v>20</v>
      </c>
      <c r="F57" s="35">
        <f>1486+65</f>
        <v>1551</v>
      </c>
      <c r="G57" s="64">
        <f t="shared" si="3"/>
        <v>77.55</v>
      </c>
    </row>
    <row r="58" spans="1:7" ht="15.75">
      <c r="A58">
        <f t="shared" si="5"/>
        <v>58</v>
      </c>
      <c r="B58" s="40" t="s">
        <v>34</v>
      </c>
      <c r="C58" s="52" t="s">
        <v>122</v>
      </c>
      <c r="D58" s="34"/>
      <c r="E58" s="35">
        <v>20</v>
      </c>
      <c r="F58" s="35">
        <v>1553</v>
      </c>
      <c r="G58" s="64">
        <f t="shared" si="3"/>
        <v>77.65</v>
      </c>
    </row>
    <row r="59" spans="1:7" ht="16.5">
      <c r="A59">
        <f t="shared" si="5"/>
        <v>59</v>
      </c>
      <c r="B59" s="40" t="s">
        <v>19</v>
      </c>
      <c r="C59" s="17" t="s">
        <v>133</v>
      </c>
      <c r="D59" s="34"/>
      <c r="E59" s="35">
        <v>20</v>
      </c>
      <c r="F59" s="35">
        <f>1475+80</f>
        <v>1555</v>
      </c>
      <c r="G59" s="64">
        <f t="shared" si="3"/>
        <v>77.75</v>
      </c>
    </row>
    <row r="60" spans="1:7" ht="15.75">
      <c r="A60">
        <f t="shared" si="5"/>
        <v>60</v>
      </c>
      <c r="B60" s="40" t="s">
        <v>47</v>
      </c>
      <c r="C60" s="52" t="s">
        <v>105</v>
      </c>
      <c r="D60" s="34"/>
      <c r="E60" s="35">
        <v>20</v>
      </c>
      <c r="F60" s="35">
        <f>1489+66</f>
        <v>1555</v>
      </c>
      <c r="G60" s="64">
        <f t="shared" si="3"/>
        <v>77.75</v>
      </c>
    </row>
    <row r="61" spans="1:7" ht="15.75">
      <c r="A61">
        <f>A60+1</f>
        <v>61</v>
      </c>
      <c r="B61" s="40" t="s">
        <v>22</v>
      </c>
      <c r="C61" s="12" t="s">
        <v>163</v>
      </c>
      <c r="D61" s="34"/>
      <c r="E61" s="35">
        <v>20</v>
      </c>
      <c r="F61" s="35">
        <f>1484+72</f>
        <v>1556</v>
      </c>
      <c r="G61" s="64">
        <f t="shared" si="3"/>
        <v>77.8</v>
      </c>
    </row>
    <row r="62" spans="1:7" ht="15.75">
      <c r="A62">
        <f t="shared" si="5"/>
        <v>62</v>
      </c>
      <c r="B62" s="40" t="s">
        <v>15</v>
      </c>
      <c r="C62" s="22" t="s">
        <v>91</v>
      </c>
      <c r="D62" s="45"/>
      <c r="E62" s="46">
        <v>20</v>
      </c>
      <c r="F62" s="46">
        <f>1475+84</f>
        <v>1559</v>
      </c>
      <c r="G62" s="64">
        <f t="shared" si="3"/>
        <v>77.95</v>
      </c>
    </row>
    <row r="63" spans="1:7" ht="15.75">
      <c r="A63">
        <f t="shared" si="5"/>
        <v>63</v>
      </c>
      <c r="B63" s="40" t="s">
        <v>26</v>
      </c>
      <c r="C63" s="14" t="s">
        <v>21</v>
      </c>
      <c r="D63" s="34"/>
      <c r="E63" s="35">
        <v>20</v>
      </c>
      <c r="F63" s="35">
        <f>1492+68</f>
        <v>1560</v>
      </c>
      <c r="G63" s="64">
        <f t="shared" si="3"/>
        <v>78</v>
      </c>
    </row>
    <row r="64" spans="1:7" ht="15.75">
      <c r="A64">
        <f t="shared" si="5"/>
        <v>64</v>
      </c>
      <c r="B64" s="40" t="s">
        <v>36</v>
      </c>
      <c r="C64" s="14" t="s">
        <v>37</v>
      </c>
      <c r="D64" s="34"/>
      <c r="E64" s="35">
        <v>20</v>
      </c>
      <c r="F64" s="35">
        <f>1498+62</f>
        <v>1560</v>
      </c>
      <c r="G64" s="64">
        <f t="shared" si="3"/>
        <v>78</v>
      </c>
    </row>
    <row r="65" spans="1:7" ht="15.75">
      <c r="A65">
        <f t="shared" si="5"/>
        <v>65</v>
      </c>
      <c r="B65" s="40" t="s">
        <v>15</v>
      </c>
      <c r="C65" s="22" t="s">
        <v>16</v>
      </c>
      <c r="D65" s="45"/>
      <c r="E65" s="46">
        <v>20</v>
      </c>
      <c r="F65" s="46">
        <f>1487+75</f>
        <v>1562</v>
      </c>
      <c r="G65" s="64">
        <f aca="true" t="shared" si="6" ref="G65:G96">F65/E65</f>
        <v>78.1</v>
      </c>
    </row>
    <row r="66" spans="1:7" ht="15.75">
      <c r="A66">
        <f t="shared" si="5"/>
        <v>66</v>
      </c>
      <c r="B66" s="40" t="s">
        <v>38</v>
      </c>
      <c r="C66" s="12" t="s">
        <v>146</v>
      </c>
      <c r="D66" s="34"/>
      <c r="E66" s="35">
        <v>20</v>
      </c>
      <c r="F66" s="35">
        <f>1508+55</f>
        <v>1563</v>
      </c>
      <c r="G66" s="64">
        <f t="shared" si="6"/>
        <v>78.15</v>
      </c>
    </row>
    <row r="67" spans="1:7" ht="15.75">
      <c r="A67">
        <f aca="true" t="shared" si="7" ref="A67:A82">A66+1</f>
        <v>67</v>
      </c>
      <c r="B67" s="40" t="s">
        <v>26</v>
      </c>
      <c r="C67" s="56" t="s">
        <v>162</v>
      </c>
      <c r="D67" s="34"/>
      <c r="E67" s="35">
        <v>20</v>
      </c>
      <c r="F67" s="35">
        <v>1564</v>
      </c>
      <c r="G67" s="64">
        <f t="shared" si="6"/>
        <v>78.2</v>
      </c>
    </row>
    <row r="68" spans="1:7" ht="15.75">
      <c r="A68">
        <f t="shared" si="7"/>
        <v>68</v>
      </c>
      <c r="B68" s="40" t="s">
        <v>19</v>
      </c>
      <c r="C68" s="52" t="s">
        <v>86</v>
      </c>
      <c r="D68" s="34"/>
      <c r="E68" s="35">
        <v>20</v>
      </c>
      <c r="F68" s="35">
        <f>1488+77</f>
        <v>1565</v>
      </c>
      <c r="G68" s="64">
        <f t="shared" si="6"/>
        <v>78.25</v>
      </c>
    </row>
    <row r="69" spans="1:7" ht="15.75">
      <c r="A69">
        <f t="shared" si="7"/>
        <v>69</v>
      </c>
      <c r="B69" s="40" t="s">
        <v>22</v>
      </c>
      <c r="C69" s="14" t="s">
        <v>78</v>
      </c>
      <c r="D69" s="34"/>
      <c r="E69" s="35">
        <v>20</v>
      </c>
      <c r="F69" s="35">
        <v>1568</v>
      </c>
      <c r="G69" s="64">
        <f t="shared" si="6"/>
        <v>78.4</v>
      </c>
    </row>
    <row r="70" spans="1:7" ht="15.75">
      <c r="A70">
        <f t="shared" si="7"/>
        <v>70</v>
      </c>
      <c r="B70" s="40" t="s">
        <v>22</v>
      </c>
      <c r="C70" s="52" t="s">
        <v>80</v>
      </c>
      <c r="D70" s="34"/>
      <c r="E70" s="35">
        <v>20</v>
      </c>
      <c r="F70" s="35">
        <f>1512+62</f>
        <v>1574</v>
      </c>
      <c r="G70" s="64">
        <f t="shared" si="6"/>
        <v>78.7</v>
      </c>
    </row>
    <row r="71" spans="1:7" ht="15.75">
      <c r="A71">
        <f t="shared" si="7"/>
        <v>71</v>
      </c>
      <c r="B71" s="40" t="s">
        <v>30</v>
      </c>
      <c r="C71" s="14" t="s">
        <v>69</v>
      </c>
      <c r="D71" s="34"/>
      <c r="E71" s="35">
        <v>20</v>
      </c>
      <c r="F71" s="35">
        <v>1577</v>
      </c>
      <c r="G71" s="64">
        <f t="shared" si="6"/>
        <v>78.85</v>
      </c>
    </row>
    <row r="72" spans="1:7" ht="16.5" thickBot="1">
      <c r="A72" s="10">
        <f t="shared" si="7"/>
        <v>72</v>
      </c>
      <c r="B72" s="40" t="s">
        <v>19</v>
      </c>
      <c r="C72" s="14" t="s">
        <v>85</v>
      </c>
      <c r="D72" s="34"/>
      <c r="E72" s="35">
        <v>20</v>
      </c>
      <c r="F72" s="35">
        <v>1577</v>
      </c>
      <c r="G72" s="64">
        <f t="shared" si="6"/>
        <v>78.85</v>
      </c>
    </row>
    <row r="73" spans="1:7" ht="16.5">
      <c r="A73">
        <f t="shared" si="7"/>
        <v>73</v>
      </c>
      <c r="B73" s="40" t="s">
        <v>34</v>
      </c>
      <c r="C73" s="58" t="s">
        <v>123</v>
      </c>
      <c r="D73" s="34"/>
      <c r="E73" s="35">
        <v>20</v>
      </c>
      <c r="F73" s="35">
        <f>1488+90</f>
        <v>1578</v>
      </c>
      <c r="G73" s="64">
        <f t="shared" si="6"/>
        <v>78.9</v>
      </c>
    </row>
    <row r="74" spans="1:7" ht="15.75">
      <c r="A74">
        <f t="shared" si="7"/>
        <v>74</v>
      </c>
      <c r="B74" s="40" t="s">
        <v>9</v>
      </c>
      <c r="C74" s="12" t="s">
        <v>129</v>
      </c>
      <c r="D74" s="34"/>
      <c r="E74" s="35">
        <v>20</v>
      </c>
      <c r="F74" s="35">
        <f>1470+110</f>
        <v>1580</v>
      </c>
      <c r="G74" s="64">
        <f t="shared" si="6"/>
        <v>79</v>
      </c>
    </row>
    <row r="75" spans="1:7" ht="15.75">
      <c r="A75">
        <f t="shared" si="7"/>
        <v>75</v>
      </c>
      <c r="B75" s="40" t="s">
        <v>48</v>
      </c>
      <c r="C75" s="14" t="s">
        <v>136</v>
      </c>
      <c r="D75" s="34"/>
      <c r="E75" s="35">
        <v>20</v>
      </c>
      <c r="F75" s="35">
        <f>1503+77</f>
        <v>1580</v>
      </c>
      <c r="G75" s="64">
        <f t="shared" si="6"/>
        <v>79</v>
      </c>
    </row>
    <row r="76" spans="1:7" ht="15.75">
      <c r="A76">
        <f t="shared" si="7"/>
        <v>76</v>
      </c>
      <c r="B76" s="40" t="s">
        <v>48</v>
      </c>
      <c r="C76" s="52" t="s">
        <v>101</v>
      </c>
      <c r="D76" s="34"/>
      <c r="E76" s="35">
        <v>20</v>
      </c>
      <c r="F76" s="35">
        <f>1518+63</f>
        <v>1581</v>
      </c>
      <c r="G76" s="64">
        <f t="shared" si="6"/>
        <v>79.05</v>
      </c>
    </row>
    <row r="77" spans="1:7" ht="15.75">
      <c r="A77">
        <f t="shared" si="7"/>
        <v>77</v>
      </c>
      <c r="B77" s="40" t="s">
        <v>36</v>
      </c>
      <c r="C77" s="14" t="s">
        <v>149</v>
      </c>
      <c r="D77" s="34"/>
      <c r="E77" s="35">
        <v>19</v>
      </c>
      <c r="F77" s="35">
        <f>1421+82</f>
        <v>1503</v>
      </c>
      <c r="G77" s="64">
        <f t="shared" si="6"/>
        <v>79.10526315789474</v>
      </c>
    </row>
    <row r="78" spans="1:7" ht="15.75">
      <c r="A78">
        <f t="shared" si="7"/>
        <v>78</v>
      </c>
      <c r="B78" s="40" t="s">
        <v>26</v>
      </c>
      <c r="C78" s="14" t="s">
        <v>73</v>
      </c>
      <c r="D78" s="34"/>
      <c r="E78" s="35">
        <v>20</v>
      </c>
      <c r="F78" s="35">
        <f>1488+97</f>
        <v>1585</v>
      </c>
      <c r="G78" s="64">
        <f t="shared" si="6"/>
        <v>79.25</v>
      </c>
    </row>
    <row r="79" spans="1:7" ht="15.75">
      <c r="A79">
        <f t="shared" si="7"/>
        <v>79</v>
      </c>
      <c r="B79" s="40" t="s">
        <v>34</v>
      </c>
      <c r="C79" s="14" t="s">
        <v>155</v>
      </c>
      <c r="D79" s="34"/>
      <c r="E79" s="35">
        <v>20</v>
      </c>
      <c r="F79" s="35">
        <f>1504+82</f>
        <v>1586</v>
      </c>
      <c r="G79" s="64">
        <f t="shared" si="6"/>
        <v>79.3</v>
      </c>
    </row>
    <row r="80" spans="1:7" ht="16.5">
      <c r="A80">
        <f t="shared" si="7"/>
        <v>80</v>
      </c>
      <c r="B80" s="40" t="s">
        <v>48</v>
      </c>
      <c r="C80" s="17" t="s">
        <v>137</v>
      </c>
      <c r="D80" s="34"/>
      <c r="E80" s="35">
        <v>20</v>
      </c>
      <c r="F80" s="35">
        <f>1495+91</f>
        <v>1586</v>
      </c>
      <c r="G80" s="64">
        <f t="shared" si="6"/>
        <v>79.3</v>
      </c>
    </row>
    <row r="81" spans="1:7" ht="16.5">
      <c r="A81">
        <f t="shared" si="7"/>
        <v>81</v>
      </c>
      <c r="B81" s="40" t="s">
        <v>34</v>
      </c>
      <c r="C81" s="17" t="s">
        <v>39</v>
      </c>
      <c r="D81" s="34"/>
      <c r="E81" s="35">
        <v>20</v>
      </c>
      <c r="F81" s="35">
        <f>1504+83</f>
        <v>1587</v>
      </c>
      <c r="G81" s="64">
        <f t="shared" si="6"/>
        <v>79.35</v>
      </c>
    </row>
    <row r="82" spans="1:7" ht="16.5">
      <c r="A82">
        <f t="shared" si="7"/>
        <v>82</v>
      </c>
      <c r="B82" s="40" t="s">
        <v>48</v>
      </c>
      <c r="C82" s="58" t="s">
        <v>102</v>
      </c>
      <c r="D82" s="34"/>
      <c r="E82" s="35">
        <v>20</v>
      </c>
      <c r="F82" s="35">
        <f>1495+95</f>
        <v>1590</v>
      </c>
      <c r="G82" s="64">
        <f t="shared" si="6"/>
        <v>79.5</v>
      </c>
    </row>
    <row r="83" spans="1:7" ht="15.75">
      <c r="A83">
        <f aca="true" t="shared" si="8" ref="A83:A98">A82+1</f>
        <v>83</v>
      </c>
      <c r="B83" s="33" t="s">
        <v>30</v>
      </c>
      <c r="C83" s="68" t="s">
        <v>60</v>
      </c>
      <c r="D83" s="34"/>
      <c r="E83" s="35">
        <v>20</v>
      </c>
      <c r="F83" s="35">
        <f>1530+62</f>
        <v>1592</v>
      </c>
      <c r="G83" s="64">
        <f t="shared" si="6"/>
        <v>79.6</v>
      </c>
    </row>
    <row r="84" spans="1:7" ht="15.75">
      <c r="A84">
        <f t="shared" si="8"/>
        <v>84</v>
      </c>
      <c r="B84" s="40" t="s">
        <v>38</v>
      </c>
      <c r="C84" s="53" t="s">
        <v>144</v>
      </c>
      <c r="D84" s="34"/>
      <c r="E84" s="35">
        <v>20</v>
      </c>
      <c r="F84" s="35">
        <v>1593</v>
      </c>
      <c r="G84" s="64">
        <f t="shared" si="6"/>
        <v>79.65</v>
      </c>
    </row>
    <row r="85" spans="1:7" ht="15.75">
      <c r="A85">
        <f t="shared" si="8"/>
        <v>85</v>
      </c>
      <c r="B85" s="40" t="s">
        <v>19</v>
      </c>
      <c r="C85" s="14" t="s">
        <v>84</v>
      </c>
      <c r="D85" s="34"/>
      <c r="E85" s="35">
        <v>20</v>
      </c>
      <c r="F85" s="35">
        <f>1520+75</f>
        <v>1595</v>
      </c>
      <c r="G85" s="64">
        <f t="shared" si="6"/>
        <v>79.75</v>
      </c>
    </row>
    <row r="86" spans="1:7" ht="15.75">
      <c r="A86">
        <f t="shared" si="8"/>
        <v>86</v>
      </c>
      <c r="B86" s="40" t="s">
        <v>42</v>
      </c>
      <c r="C86" s="57" t="s">
        <v>109</v>
      </c>
      <c r="D86" s="34"/>
      <c r="E86" s="35">
        <v>20</v>
      </c>
      <c r="F86" s="35">
        <f>1489+108</f>
        <v>1597</v>
      </c>
      <c r="G86" s="64">
        <f t="shared" si="6"/>
        <v>79.85</v>
      </c>
    </row>
    <row r="87" spans="1:7" ht="16.5">
      <c r="A87">
        <f t="shared" si="8"/>
        <v>87</v>
      </c>
      <c r="B87" s="40" t="s">
        <v>26</v>
      </c>
      <c r="C87" s="17" t="s">
        <v>74</v>
      </c>
      <c r="D87" s="34"/>
      <c r="E87" s="35">
        <v>20</v>
      </c>
      <c r="F87" s="35">
        <v>1599</v>
      </c>
      <c r="G87" s="64">
        <f t="shared" si="6"/>
        <v>79.95</v>
      </c>
    </row>
    <row r="88" spans="1:7" ht="15.75">
      <c r="A88">
        <f t="shared" si="8"/>
        <v>88</v>
      </c>
      <c r="B88" s="40" t="s">
        <v>36</v>
      </c>
      <c r="C88" s="14" t="s">
        <v>119</v>
      </c>
      <c r="D88" s="34"/>
      <c r="E88" s="35">
        <v>20</v>
      </c>
      <c r="F88" s="35">
        <f>1521+79</f>
        <v>1600</v>
      </c>
      <c r="G88" s="64">
        <f t="shared" si="6"/>
        <v>80</v>
      </c>
    </row>
    <row r="89" spans="1:7" ht="15.75">
      <c r="A89">
        <f t="shared" si="8"/>
        <v>89</v>
      </c>
      <c r="B89" s="40" t="s">
        <v>42</v>
      </c>
      <c r="C89" s="14" t="s">
        <v>140</v>
      </c>
      <c r="D89" s="34"/>
      <c r="E89" s="35">
        <v>20</v>
      </c>
      <c r="F89" s="35">
        <f>1526+75</f>
        <v>1601</v>
      </c>
      <c r="G89" s="64">
        <f t="shared" si="6"/>
        <v>80.05</v>
      </c>
    </row>
    <row r="90" spans="1:7" ht="15.75">
      <c r="A90">
        <f t="shared" si="8"/>
        <v>90</v>
      </c>
      <c r="B90" s="40" t="s">
        <v>42</v>
      </c>
      <c r="C90" s="14" t="s">
        <v>141</v>
      </c>
      <c r="D90" s="34"/>
      <c r="E90" s="35">
        <v>20</v>
      </c>
      <c r="F90" s="35">
        <f>1553+51</f>
        <v>1604</v>
      </c>
      <c r="G90" s="64">
        <f t="shared" si="6"/>
        <v>80.2</v>
      </c>
    </row>
    <row r="91" spans="1:7" ht="15.75">
      <c r="A91">
        <f t="shared" si="8"/>
        <v>91</v>
      </c>
      <c r="B91" s="40" t="s">
        <v>15</v>
      </c>
      <c r="C91" s="22" t="s">
        <v>92</v>
      </c>
      <c r="D91" s="45"/>
      <c r="E91" s="46">
        <v>20</v>
      </c>
      <c r="F91" s="46">
        <f>1537+70</f>
        <v>1607</v>
      </c>
      <c r="G91" s="64">
        <f t="shared" si="6"/>
        <v>80.35</v>
      </c>
    </row>
    <row r="92" spans="1:7" ht="16.5">
      <c r="A92">
        <f t="shared" si="8"/>
        <v>92</v>
      </c>
      <c r="B92" s="40" t="s">
        <v>38</v>
      </c>
      <c r="C92" s="17" t="s">
        <v>147</v>
      </c>
      <c r="D92" s="34"/>
      <c r="E92" s="35">
        <v>20</v>
      </c>
      <c r="F92" s="35">
        <v>1608</v>
      </c>
      <c r="G92" s="64">
        <f t="shared" si="6"/>
        <v>80.4</v>
      </c>
    </row>
    <row r="93" spans="1:7" ht="15.75">
      <c r="A93">
        <f t="shared" si="8"/>
        <v>93</v>
      </c>
      <c r="B93" s="40" t="s">
        <v>30</v>
      </c>
      <c r="C93" s="12" t="s">
        <v>160</v>
      </c>
      <c r="D93" s="34"/>
      <c r="E93" s="35">
        <v>20</v>
      </c>
      <c r="F93" s="35">
        <f>1516+93</f>
        <v>1609</v>
      </c>
      <c r="G93" s="64">
        <f t="shared" si="6"/>
        <v>80.45</v>
      </c>
    </row>
    <row r="94" spans="1:7" ht="15.75">
      <c r="A94">
        <f t="shared" si="8"/>
        <v>94</v>
      </c>
      <c r="B94" s="40" t="s">
        <v>36</v>
      </c>
      <c r="C94" s="52" t="s">
        <v>151</v>
      </c>
      <c r="D94" s="34"/>
      <c r="E94" s="35">
        <v>20</v>
      </c>
      <c r="F94" s="35">
        <f>1534+76</f>
        <v>1610</v>
      </c>
      <c r="G94" s="64">
        <f t="shared" si="6"/>
        <v>80.5</v>
      </c>
    </row>
    <row r="95" spans="1:7" ht="16.5">
      <c r="A95">
        <f t="shared" si="8"/>
        <v>95</v>
      </c>
      <c r="B95" s="40" t="s">
        <v>36</v>
      </c>
      <c r="C95" s="17" t="s">
        <v>152</v>
      </c>
      <c r="D95" s="34"/>
      <c r="E95" s="35">
        <v>20</v>
      </c>
      <c r="F95" s="35">
        <f>1529+82</f>
        <v>1611</v>
      </c>
      <c r="G95" s="64">
        <f t="shared" si="6"/>
        <v>80.55</v>
      </c>
    </row>
    <row r="96" spans="1:7" ht="16.5">
      <c r="A96">
        <f t="shared" si="8"/>
        <v>96</v>
      </c>
      <c r="B96" s="40" t="s">
        <v>15</v>
      </c>
      <c r="C96" s="24" t="s">
        <v>68</v>
      </c>
      <c r="D96" s="45"/>
      <c r="E96" s="46">
        <v>20</v>
      </c>
      <c r="F96" s="46">
        <f>1539+74</f>
        <v>1613</v>
      </c>
      <c r="G96" s="64">
        <f t="shared" si="6"/>
        <v>80.65</v>
      </c>
    </row>
    <row r="97" spans="1:7" ht="15.75">
      <c r="A97">
        <f t="shared" si="8"/>
        <v>97</v>
      </c>
      <c r="B97" s="40" t="s">
        <v>30</v>
      </c>
      <c r="C97" s="14" t="s">
        <v>70</v>
      </c>
      <c r="D97" s="34"/>
      <c r="E97" s="35">
        <v>20</v>
      </c>
      <c r="F97" s="35">
        <f>1537+78</f>
        <v>1615</v>
      </c>
      <c r="G97" s="64">
        <f aca="true" t="shared" si="9" ref="G97:G128">F97/E97</f>
        <v>80.75</v>
      </c>
    </row>
    <row r="98" spans="1:7" ht="15.75">
      <c r="A98">
        <f t="shared" si="8"/>
        <v>98</v>
      </c>
      <c r="B98" s="40" t="s">
        <v>15</v>
      </c>
      <c r="C98" s="55" t="s">
        <v>93</v>
      </c>
      <c r="D98" s="45"/>
      <c r="E98" s="46">
        <v>20</v>
      </c>
      <c r="F98" s="46">
        <f>1553+69</f>
        <v>1622</v>
      </c>
      <c r="G98" s="64">
        <f t="shared" si="9"/>
        <v>81.1</v>
      </c>
    </row>
    <row r="99" spans="1:7" ht="16.5">
      <c r="A99">
        <f aca="true" t="shared" si="10" ref="A99:A114">A98+1</f>
        <v>99</v>
      </c>
      <c r="B99" s="40" t="s">
        <v>15</v>
      </c>
      <c r="C99" s="61" t="s">
        <v>94</v>
      </c>
      <c r="D99" s="45"/>
      <c r="E99" s="46">
        <v>20</v>
      </c>
      <c r="F99" s="46">
        <f>1566+56</f>
        <v>1622</v>
      </c>
      <c r="G99" s="64">
        <f t="shared" si="9"/>
        <v>81.1</v>
      </c>
    </row>
    <row r="100" spans="1:7" ht="15.75">
      <c r="A100">
        <f t="shared" si="10"/>
        <v>100</v>
      </c>
      <c r="B100" s="40" t="s">
        <v>42</v>
      </c>
      <c r="C100" s="52" t="s">
        <v>112</v>
      </c>
      <c r="D100" s="34"/>
      <c r="E100" s="35">
        <v>20</v>
      </c>
      <c r="F100" s="35">
        <f>1531+92</f>
        <v>1623</v>
      </c>
      <c r="G100" s="64">
        <f t="shared" si="9"/>
        <v>81.15</v>
      </c>
    </row>
    <row r="101" spans="1:7" ht="15.75">
      <c r="A101">
        <f t="shared" si="10"/>
        <v>101</v>
      </c>
      <c r="B101" s="40" t="s">
        <v>22</v>
      </c>
      <c r="C101" s="52" t="s">
        <v>82</v>
      </c>
      <c r="D101" s="34"/>
      <c r="E101" s="35">
        <v>20</v>
      </c>
      <c r="F101" s="35">
        <v>1628</v>
      </c>
      <c r="G101" s="64">
        <f t="shared" si="9"/>
        <v>81.4</v>
      </c>
    </row>
    <row r="102" spans="1:7" ht="15.75">
      <c r="A102">
        <f t="shared" si="10"/>
        <v>102</v>
      </c>
      <c r="B102" s="40" t="s">
        <v>9</v>
      </c>
      <c r="C102" s="12" t="s">
        <v>13</v>
      </c>
      <c r="D102" s="34"/>
      <c r="E102" s="35">
        <v>20</v>
      </c>
      <c r="F102" s="35">
        <f>1555+75</f>
        <v>1630</v>
      </c>
      <c r="G102" s="64">
        <f t="shared" si="9"/>
        <v>81.5</v>
      </c>
    </row>
    <row r="103" spans="1:7" ht="15.75">
      <c r="A103">
        <f t="shared" si="10"/>
        <v>103</v>
      </c>
      <c r="B103" s="40" t="s">
        <v>47</v>
      </c>
      <c r="C103" s="14" t="s">
        <v>45</v>
      </c>
      <c r="D103" s="34"/>
      <c r="E103" s="35">
        <v>20</v>
      </c>
      <c r="F103" s="35">
        <f>1559+74</f>
        <v>1633</v>
      </c>
      <c r="G103" s="64">
        <f t="shared" si="9"/>
        <v>81.65</v>
      </c>
    </row>
    <row r="104" spans="1:7" ht="16.5">
      <c r="A104">
        <f t="shared" si="10"/>
        <v>104</v>
      </c>
      <c r="B104" s="40" t="s">
        <v>9</v>
      </c>
      <c r="C104" s="17" t="s">
        <v>12</v>
      </c>
      <c r="D104" s="34"/>
      <c r="E104" s="35">
        <v>20</v>
      </c>
      <c r="F104" s="35">
        <f>1559+78</f>
        <v>1637</v>
      </c>
      <c r="G104" s="64">
        <f t="shared" si="9"/>
        <v>81.85</v>
      </c>
    </row>
    <row r="105" spans="1:7" ht="15.75">
      <c r="A105">
        <f t="shared" si="10"/>
        <v>105</v>
      </c>
      <c r="B105" s="40" t="s">
        <v>19</v>
      </c>
      <c r="C105" s="52" t="s">
        <v>88</v>
      </c>
      <c r="D105" s="34"/>
      <c r="E105" s="35">
        <v>20</v>
      </c>
      <c r="F105" s="35">
        <v>1640</v>
      </c>
      <c r="G105" s="64">
        <f t="shared" si="9"/>
        <v>82</v>
      </c>
    </row>
    <row r="106" spans="1:7" ht="16.5">
      <c r="A106">
        <f t="shared" si="10"/>
        <v>106</v>
      </c>
      <c r="B106" s="40" t="s">
        <v>47</v>
      </c>
      <c r="C106" s="17" t="s">
        <v>126</v>
      </c>
      <c r="D106" s="34"/>
      <c r="E106" s="35">
        <v>20</v>
      </c>
      <c r="F106" s="35">
        <f>1545+95</f>
        <v>1640</v>
      </c>
      <c r="G106" s="64">
        <f t="shared" si="9"/>
        <v>82</v>
      </c>
    </row>
    <row r="107" spans="1:7" ht="15.75">
      <c r="A107">
        <f t="shared" si="10"/>
        <v>107</v>
      </c>
      <c r="B107" s="40" t="s">
        <v>36</v>
      </c>
      <c r="C107" s="14" t="s">
        <v>150</v>
      </c>
      <c r="D107" s="34"/>
      <c r="E107" s="35">
        <v>20</v>
      </c>
      <c r="F107" s="35">
        <f>1557+91</f>
        <v>1648</v>
      </c>
      <c r="G107" s="64">
        <f t="shared" si="9"/>
        <v>82.4</v>
      </c>
    </row>
    <row r="108" spans="1:7" ht="15.75">
      <c r="A108">
        <f t="shared" si="10"/>
        <v>108</v>
      </c>
      <c r="B108" s="40" t="s">
        <v>22</v>
      </c>
      <c r="C108" s="14" t="s">
        <v>164</v>
      </c>
      <c r="D108" s="34"/>
      <c r="E108" s="35">
        <v>20</v>
      </c>
      <c r="F108" s="35">
        <f>1565+84</f>
        <v>1649</v>
      </c>
      <c r="G108" s="64">
        <f t="shared" si="9"/>
        <v>82.45</v>
      </c>
    </row>
    <row r="109" spans="1:7" ht="15.75">
      <c r="A109">
        <f t="shared" si="10"/>
        <v>109</v>
      </c>
      <c r="B109" s="40" t="s">
        <v>38</v>
      </c>
      <c r="C109" s="14" t="s">
        <v>63</v>
      </c>
      <c r="D109" s="34"/>
      <c r="E109" s="35">
        <v>20</v>
      </c>
      <c r="F109" s="35">
        <f>1569+81</f>
        <v>1650</v>
      </c>
      <c r="G109" s="64">
        <f t="shared" si="9"/>
        <v>82.5</v>
      </c>
    </row>
    <row r="110" spans="1:7" ht="15.75">
      <c r="A110">
        <f t="shared" si="10"/>
        <v>110</v>
      </c>
      <c r="B110" s="40" t="s">
        <v>42</v>
      </c>
      <c r="C110" s="14" t="s">
        <v>43</v>
      </c>
      <c r="D110" s="34"/>
      <c r="E110" s="35">
        <v>20</v>
      </c>
      <c r="F110" s="35">
        <f>1558+95</f>
        <v>1653</v>
      </c>
      <c r="G110" s="64">
        <f t="shared" si="9"/>
        <v>82.65</v>
      </c>
    </row>
    <row r="111" spans="1:7" ht="15.75">
      <c r="A111">
        <f t="shared" si="10"/>
        <v>111</v>
      </c>
      <c r="B111" s="40" t="s">
        <v>47</v>
      </c>
      <c r="C111" s="12" t="s">
        <v>167</v>
      </c>
      <c r="D111" s="34"/>
      <c r="E111" s="35">
        <v>20</v>
      </c>
      <c r="F111" s="35">
        <f>1574+80</f>
        <v>1654</v>
      </c>
      <c r="G111" s="64">
        <f t="shared" si="9"/>
        <v>82.7</v>
      </c>
    </row>
    <row r="112" spans="1:7" ht="16.5">
      <c r="A112">
        <f t="shared" si="10"/>
        <v>112</v>
      </c>
      <c r="B112" s="40" t="s">
        <v>30</v>
      </c>
      <c r="C112" s="58" t="s">
        <v>71</v>
      </c>
      <c r="D112" s="34"/>
      <c r="E112" s="35">
        <v>20</v>
      </c>
      <c r="F112" s="35">
        <f>1590+67</f>
        <v>1657</v>
      </c>
      <c r="G112" s="64">
        <f t="shared" si="9"/>
        <v>82.85</v>
      </c>
    </row>
    <row r="113" spans="1:7" ht="15.75">
      <c r="A113">
        <f>A112+1</f>
        <v>113</v>
      </c>
      <c r="B113" s="33" t="s">
        <v>47</v>
      </c>
      <c r="C113" s="50" t="s">
        <v>104</v>
      </c>
      <c r="D113" s="34"/>
      <c r="E113" s="35">
        <v>20</v>
      </c>
      <c r="F113" s="35">
        <f>1590+67</f>
        <v>1657</v>
      </c>
      <c r="G113" s="64">
        <f t="shared" si="9"/>
        <v>82.85</v>
      </c>
    </row>
    <row r="114" spans="1:7" ht="16.5">
      <c r="A114">
        <f t="shared" si="10"/>
        <v>114</v>
      </c>
      <c r="B114" s="40" t="s">
        <v>30</v>
      </c>
      <c r="C114" s="58" t="s">
        <v>72</v>
      </c>
      <c r="D114" s="34"/>
      <c r="E114" s="35">
        <v>20</v>
      </c>
      <c r="F114" s="35">
        <f>1557+101</f>
        <v>1658</v>
      </c>
      <c r="G114" s="64">
        <f t="shared" si="9"/>
        <v>82.9</v>
      </c>
    </row>
    <row r="115" spans="1:7" ht="16.5">
      <c r="A115">
        <f aca="true" t="shared" si="11" ref="A115:A130">A114+1</f>
        <v>115</v>
      </c>
      <c r="B115" s="40" t="s">
        <v>36</v>
      </c>
      <c r="C115" s="17" t="s">
        <v>120</v>
      </c>
      <c r="D115" s="34"/>
      <c r="E115" s="35">
        <v>20</v>
      </c>
      <c r="F115" s="35">
        <f>1542+116</f>
        <v>1658</v>
      </c>
      <c r="G115" s="64">
        <f t="shared" si="9"/>
        <v>82.9</v>
      </c>
    </row>
    <row r="116" spans="1:7" ht="16.5">
      <c r="A116">
        <f t="shared" si="11"/>
        <v>116</v>
      </c>
      <c r="B116" s="25" t="s">
        <v>38</v>
      </c>
      <c r="C116" s="59" t="s">
        <v>148</v>
      </c>
      <c r="D116" s="34"/>
      <c r="E116" s="35">
        <v>20</v>
      </c>
      <c r="F116" s="35">
        <f>1556+102</f>
        <v>1658</v>
      </c>
      <c r="G116" s="64">
        <f t="shared" si="9"/>
        <v>82.9</v>
      </c>
    </row>
    <row r="117" spans="1:7" ht="16.5">
      <c r="A117">
        <f t="shared" si="11"/>
        <v>117</v>
      </c>
      <c r="B117" s="40" t="s">
        <v>19</v>
      </c>
      <c r="C117" s="17" t="s">
        <v>23</v>
      </c>
      <c r="D117" s="34"/>
      <c r="E117" s="35">
        <v>20</v>
      </c>
      <c r="F117" s="35">
        <f>1573+88</f>
        <v>1661</v>
      </c>
      <c r="G117" s="64">
        <f t="shared" si="9"/>
        <v>83.05</v>
      </c>
    </row>
    <row r="118" spans="1:7" ht="15.75">
      <c r="A118">
        <f t="shared" si="11"/>
        <v>118</v>
      </c>
      <c r="B118" s="40" t="s">
        <v>47</v>
      </c>
      <c r="C118" s="53" t="s">
        <v>106</v>
      </c>
      <c r="D118" s="34"/>
      <c r="E118" s="35">
        <v>20</v>
      </c>
      <c r="F118" s="35">
        <v>1664</v>
      </c>
      <c r="G118" s="64">
        <f t="shared" si="9"/>
        <v>83.2</v>
      </c>
    </row>
    <row r="119" spans="1:7" ht="16.5">
      <c r="A119">
        <f t="shared" si="11"/>
        <v>119</v>
      </c>
      <c r="B119" s="40" t="s">
        <v>26</v>
      </c>
      <c r="C119" s="59" t="s">
        <v>75</v>
      </c>
      <c r="D119" s="34"/>
      <c r="E119" s="35">
        <v>20</v>
      </c>
      <c r="F119" s="35">
        <f>1577+98</f>
        <v>1675</v>
      </c>
      <c r="G119" s="64">
        <f t="shared" si="9"/>
        <v>83.75</v>
      </c>
    </row>
    <row r="120" spans="1:7" ht="15.75">
      <c r="A120">
        <f t="shared" si="11"/>
        <v>120</v>
      </c>
      <c r="B120" s="40" t="s">
        <v>26</v>
      </c>
      <c r="C120" s="14" t="s">
        <v>25</v>
      </c>
      <c r="D120" s="34"/>
      <c r="E120" s="35">
        <v>20</v>
      </c>
      <c r="F120" s="35">
        <f>1611+65</f>
        <v>1676</v>
      </c>
      <c r="G120" s="64">
        <f t="shared" si="9"/>
        <v>83.8</v>
      </c>
    </row>
    <row r="121" spans="1:7" ht="16.5">
      <c r="A121">
        <f t="shared" si="11"/>
        <v>121</v>
      </c>
      <c r="B121" s="40" t="s">
        <v>38</v>
      </c>
      <c r="C121" s="17" t="s">
        <v>35</v>
      </c>
      <c r="D121" s="34"/>
      <c r="E121" s="35">
        <v>20</v>
      </c>
      <c r="F121" s="35">
        <f>1598+80</f>
        <v>1678</v>
      </c>
      <c r="G121" s="64">
        <f t="shared" si="9"/>
        <v>83.9</v>
      </c>
    </row>
    <row r="122" spans="1:7" ht="15.75">
      <c r="A122">
        <f t="shared" si="11"/>
        <v>122</v>
      </c>
      <c r="B122" s="40" t="s">
        <v>26</v>
      </c>
      <c r="C122" s="14" t="s">
        <v>33</v>
      </c>
      <c r="D122" s="34"/>
      <c r="E122" s="35">
        <v>20</v>
      </c>
      <c r="F122" s="35">
        <f>1612+75</f>
        <v>1687</v>
      </c>
      <c r="G122" s="64">
        <f t="shared" si="9"/>
        <v>84.35</v>
      </c>
    </row>
    <row r="123" spans="1:7" ht="15.75">
      <c r="A123">
        <f t="shared" si="11"/>
        <v>123</v>
      </c>
      <c r="B123" s="40" t="s">
        <v>9</v>
      </c>
      <c r="C123" s="52" t="s">
        <v>95</v>
      </c>
      <c r="D123" s="34"/>
      <c r="E123" s="35">
        <v>20</v>
      </c>
      <c r="F123" s="35">
        <v>1689</v>
      </c>
      <c r="G123" s="64">
        <f t="shared" si="9"/>
        <v>84.45</v>
      </c>
    </row>
    <row r="124" spans="1:7" ht="15.75">
      <c r="A124">
        <f t="shared" si="11"/>
        <v>124</v>
      </c>
      <c r="B124" s="40" t="s">
        <v>47</v>
      </c>
      <c r="C124" s="14" t="s">
        <v>107</v>
      </c>
      <c r="D124" s="34"/>
      <c r="E124" s="35">
        <v>20</v>
      </c>
      <c r="F124" s="35">
        <f>1615+79</f>
        <v>1694</v>
      </c>
      <c r="G124" s="64">
        <f t="shared" si="9"/>
        <v>84.7</v>
      </c>
    </row>
    <row r="125" spans="1:7" ht="15.75">
      <c r="A125">
        <f t="shared" si="11"/>
        <v>125</v>
      </c>
      <c r="B125" s="40" t="s">
        <v>26</v>
      </c>
      <c r="C125" s="14" t="s">
        <v>32</v>
      </c>
      <c r="D125" s="34"/>
      <c r="E125" s="35">
        <v>20</v>
      </c>
      <c r="F125" s="35">
        <f>1627+70</f>
        <v>1697</v>
      </c>
      <c r="G125" s="64">
        <f t="shared" si="9"/>
        <v>84.85</v>
      </c>
    </row>
    <row r="126" spans="1:7" ht="16.5">
      <c r="A126">
        <f t="shared" si="11"/>
        <v>126</v>
      </c>
      <c r="B126" s="40" t="s">
        <v>30</v>
      </c>
      <c r="C126" s="59" t="s">
        <v>161</v>
      </c>
      <c r="D126" s="34"/>
      <c r="E126" s="35">
        <v>20</v>
      </c>
      <c r="F126" s="35">
        <f>1619+80</f>
        <v>1699</v>
      </c>
      <c r="G126" s="64">
        <f t="shared" si="9"/>
        <v>84.95</v>
      </c>
    </row>
    <row r="127" spans="1:7" ht="15.75">
      <c r="A127">
        <f t="shared" si="11"/>
        <v>127</v>
      </c>
      <c r="B127" s="40" t="s">
        <v>9</v>
      </c>
      <c r="C127" s="14" t="s">
        <v>17</v>
      </c>
      <c r="D127" s="34"/>
      <c r="E127" s="35">
        <v>20</v>
      </c>
      <c r="F127" s="35">
        <f>1648+53</f>
        <v>1701</v>
      </c>
      <c r="G127" s="64">
        <f t="shared" si="9"/>
        <v>85.05</v>
      </c>
    </row>
    <row r="128" spans="1:7" ht="15.75">
      <c r="A128">
        <f t="shared" si="11"/>
        <v>128</v>
      </c>
      <c r="B128" s="40" t="s">
        <v>9</v>
      </c>
      <c r="C128" s="14" t="s">
        <v>55</v>
      </c>
      <c r="D128" s="34"/>
      <c r="E128" s="35">
        <v>20</v>
      </c>
      <c r="F128" s="35">
        <f>1625+82</f>
        <v>1707</v>
      </c>
      <c r="G128" s="64">
        <f t="shared" si="9"/>
        <v>85.35</v>
      </c>
    </row>
    <row r="129" spans="1:7" ht="15.75">
      <c r="A129">
        <f t="shared" si="11"/>
        <v>129</v>
      </c>
      <c r="B129" s="40" t="s">
        <v>9</v>
      </c>
      <c r="C129" s="53" t="s">
        <v>96</v>
      </c>
      <c r="D129" s="34"/>
      <c r="E129" s="35">
        <v>20</v>
      </c>
      <c r="F129" s="35">
        <f>1627+91</f>
        <v>1718</v>
      </c>
      <c r="G129" s="64">
        <f aca="true" t="shared" si="12" ref="G129:G144">F129/E129</f>
        <v>85.9</v>
      </c>
    </row>
    <row r="130" spans="1:7" ht="16.5">
      <c r="A130">
        <f t="shared" si="11"/>
        <v>130</v>
      </c>
      <c r="B130" s="40" t="s">
        <v>9</v>
      </c>
      <c r="C130" s="58" t="s">
        <v>97</v>
      </c>
      <c r="D130" s="34"/>
      <c r="E130" s="35">
        <v>20</v>
      </c>
      <c r="F130" s="35">
        <f>1633+88</f>
        <v>1721</v>
      </c>
      <c r="G130" s="64">
        <f t="shared" si="12"/>
        <v>86.05</v>
      </c>
    </row>
    <row r="131" spans="1:7" ht="16.5">
      <c r="A131">
        <f aca="true" t="shared" si="13" ref="A131:A144">A130+1</f>
        <v>131</v>
      </c>
      <c r="B131" s="40" t="s">
        <v>22</v>
      </c>
      <c r="C131" s="59" t="s">
        <v>165</v>
      </c>
      <c r="D131" s="34"/>
      <c r="E131" s="35">
        <v>20</v>
      </c>
      <c r="F131" s="35">
        <f>1652+78</f>
        <v>1730</v>
      </c>
      <c r="G131" s="64">
        <f t="shared" si="12"/>
        <v>86.5</v>
      </c>
    </row>
    <row r="132" spans="1:7" ht="16.5">
      <c r="A132">
        <f t="shared" si="13"/>
        <v>132</v>
      </c>
      <c r="B132" s="40" t="s">
        <v>22</v>
      </c>
      <c r="C132" s="17" t="s">
        <v>79</v>
      </c>
      <c r="D132" s="34"/>
      <c r="E132" s="35">
        <v>20</v>
      </c>
      <c r="F132" s="35">
        <f>1662+74</f>
        <v>1736</v>
      </c>
      <c r="G132" s="64">
        <f t="shared" si="12"/>
        <v>86.8</v>
      </c>
    </row>
    <row r="133" spans="1:7" ht="15.75">
      <c r="A133">
        <f t="shared" si="13"/>
        <v>133</v>
      </c>
      <c r="B133" s="40" t="s">
        <v>9</v>
      </c>
      <c r="C133" s="14" t="s">
        <v>127</v>
      </c>
      <c r="D133" s="34"/>
      <c r="E133" s="35">
        <v>20</v>
      </c>
      <c r="F133" s="35">
        <f>1658+80</f>
        <v>1738</v>
      </c>
      <c r="G133" s="64">
        <f t="shared" si="12"/>
        <v>86.9</v>
      </c>
    </row>
    <row r="134" spans="1:7" ht="15.75">
      <c r="A134">
        <f t="shared" si="13"/>
        <v>134</v>
      </c>
      <c r="B134" s="40" t="s">
        <v>34</v>
      </c>
      <c r="C134" s="12" t="s">
        <v>156</v>
      </c>
      <c r="D134" s="34"/>
      <c r="E134" s="35">
        <v>20</v>
      </c>
      <c r="F134" s="35">
        <f>1644+94</f>
        <v>1738</v>
      </c>
      <c r="G134" s="64">
        <f t="shared" si="12"/>
        <v>86.9</v>
      </c>
    </row>
    <row r="135" spans="1:7" ht="16.5">
      <c r="A135">
        <f t="shared" si="13"/>
        <v>135</v>
      </c>
      <c r="B135" s="40" t="s">
        <v>42</v>
      </c>
      <c r="C135" s="60" t="s">
        <v>142</v>
      </c>
      <c r="D135" s="34"/>
      <c r="E135" s="35">
        <v>20</v>
      </c>
      <c r="F135" s="35">
        <f>1645+104</f>
        <v>1749</v>
      </c>
      <c r="G135" s="64">
        <f t="shared" si="12"/>
        <v>87.45</v>
      </c>
    </row>
    <row r="136" spans="1:7" ht="15.75">
      <c r="A136">
        <f t="shared" si="13"/>
        <v>136</v>
      </c>
      <c r="B136" s="40" t="s">
        <v>15</v>
      </c>
      <c r="C136" s="22" t="s">
        <v>130</v>
      </c>
      <c r="D136" s="45"/>
      <c r="E136" s="46">
        <v>20</v>
      </c>
      <c r="F136" s="46">
        <f>1665+91</f>
        <v>1756</v>
      </c>
      <c r="G136" s="64">
        <f t="shared" si="12"/>
        <v>87.8</v>
      </c>
    </row>
    <row r="137" spans="1:7" ht="16.5">
      <c r="A137">
        <f t="shared" si="13"/>
        <v>137</v>
      </c>
      <c r="B137" s="40" t="s">
        <v>9</v>
      </c>
      <c r="C137" s="59" t="s">
        <v>98</v>
      </c>
      <c r="D137" s="34"/>
      <c r="E137" s="35">
        <v>20</v>
      </c>
      <c r="F137" s="35">
        <f>1678+83</f>
        <v>1761</v>
      </c>
      <c r="G137" s="64">
        <f t="shared" si="12"/>
        <v>88.05</v>
      </c>
    </row>
    <row r="138" spans="1:7" ht="16.5">
      <c r="A138">
        <f t="shared" si="13"/>
        <v>138</v>
      </c>
      <c r="B138" s="40" t="s">
        <v>47</v>
      </c>
      <c r="C138" s="17" t="s">
        <v>49</v>
      </c>
      <c r="D138" s="34"/>
      <c r="E138" s="35">
        <v>20</v>
      </c>
      <c r="F138" s="35">
        <f>1679+83</f>
        <v>1762</v>
      </c>
      <c r="G138" s="64">
        <f t="shared" si="12"/>
        <v>88.1</v>
      </c>
    </row>
    <row r="139" spans="1:7" ht="15.75">
      <c r="A139">
        <f t="shared" si="13"/>
        <v>139</v>
      </c>
      <c r="B139" s="40" t="s">
        <v>47</v>
      </c>
      <c r="C139" s="14" t="s">
        <v>66</v>
      </c>
      <c r="D139" s="34"/>
      <c r="E139" s="35">
        <v>20</v>
      </c>
      <c r="F139" s="35">
        <f>1698+76</f>
        <v>1774</v>
      </c>
      <c r="G139" s="64">
        <f t="shared" si="12"/>
        <v>88.7</v>
      </c>
    </row>
    <row r="140" spans="1:7" ht="16.5">
      <c r="A140">
        <f t="shared" si="13"/>
        <v>140</v>
      </c>
      <c r="B140" s="40" t="s">
        <v>48</v>
      </c>
      <c r="C140" s="59" t="s">
        <v>103</v>
      </c>
      <c r="D140" s="34"/>
      <c r="E140" s="35">
        <v>20</v>
      </c>
      <c r="F140" s="35">
        <f>1696+80</f>
        <v>1776</v>
      </c>
      <c r="G140" s="64">
        <f t="shared" si="12"/>
        <v>88.8</v>
      </c>
    </row>
    <row r="141" spans="1:7" ht="16.5">
      <c r="A141">
        <f t="shared" si="13"/>
        <v>141</v>
      </c>
      <c r="B141" s="40" t="s">
        <v>47</v>
      </c>
      <c r="C141" s="66" t="s">
        <v>108</v>
      </c>
      <c r="D141" s="34"/>
      <c r="E141" s="35">
        <v>20</v>
      </c>
      <c r="F141" s="35">
        <v>1815</v>
      </c>
      <c r="G141" s="64">
        <f t="shared" si="12"/>
        <v>90.75</v>
      </c>
    </row>
    <row r="142" spans="1:7" ht="16.5">
      <c r="A142">
        <f t="shared" si="13"/>
        <v>142</v>
      </c>
      <c r="B142" s="40" t="s">
        <v>19</v>
      </c>
      <c r="C142" s="60" t="s">
        <v>89</v>
      </c>
      <c r="D142" s="34"/>
      <c r="E142" s="35">
        <v>20</v>
      </c>
      <c r="F142" s="35">
        <f>1749+83</f>
        <v>1832</v>
      </c>
      <c r="G142" s="64">
        <f t="shared" si="12"/>
        <v>91.6</v>
      </c>
    </row>
    <row r="143" spans="1:7" ht="16.5">
      <c r="A143">
        <f t="shared" si="13"/>
        <v>143</v>
      </c>
      <c r="B143" s="40" t="s">
        <v>34</v>
      </c>
      <c r="C143" s="18" t="s">
        <v>124</v>
      </c>
      <c r="D143" s="34"/>
      <c r="E143" s="35">
        <v>20</v>
      </c>
      <c r="F143" s="35">
        <f>1750+92</f>
        <v>1842</v>
      </c>
      <c r="G143" s="64">
        <f t="shared" si="12"/>
        <v>92.1</v>
      </c>
    </row>
    <row r="144" spans="1:7" ht="16.5">
      <c r="A144">
        <f t="shared" si="13"/>
        <v>144</v>
      </c>
      <c r="B144" s="40" t="s">
        <v>36</v>
      </c>
      <c r="C144" s="59" t="s">
        <v>121</v>
      </c>
      <c r="D144" s="34"/>
      <c r="E144" s="35">
        <v>20</v>
      </c>
      <c r="F144" s="35">
        <f>1750+101</f>
        <v>1851</v>
      </c>
      <c r="G144" s="64">
        <f t="shared" si="12"/>
        <v>92.55</v>
      </c>
    </row>
    <row r="145" spans="2:7" ht="15.75">
      <c r="B145" s="40"/>
      <c r="C145" s="14"/>
      <c r="D145" s="13"/>
      <c r="E145" s="33"/>
      <c r="F145" s="33"/>
      <c r="G145" s="43"/>
    </row>
    <row r="146" spans="2:7" ht="15.75">
      <c r="B146" s="40"/>
      <c r="C146" s="14"/>
      <c r="D146" s="13"/>
      <c r="E146" s="33"/>
      <c r="F146" s="33"/>
      <c r="G146" s="43"/>
    </row>
    <row r="147" spans="2:7" ht="15.75">
      <c r="B147" s="40"/>
      <c r="C147" s="14"/>
      <c r="D147" s="13"/>
      <c r="E147" s="33"/>
      <c r="F147" s="33"/>
      <c r="G147" s="43"/>
    </row>
    <row r="148" spans="2:7" ht="15.75">
      <c r="B148" s="40"/>
      <c r="C148" s="14"/>
      <c r="D148" s="13"/>
      <c r="E148" s="33"/>
      <c r="F148" s="33"/>
      <c r="G148" s="43"/>
    </row>
    <row r="149" spans="2:7" ht="15.75">
      <c r="B149" s="40"/>
      <c r="C149" s="14"/>
      <c r="D149" s="13"/>
      <c r="E149" s="33"/>
      <c r="F149" s="33"/>
      <c r="G149" s="43"/>
    </row>
    <row r="150" spans="2:7" ht="15.75">
      <c r="B150" s="40"/>
      <c r="C150" s="14"/>
      <c r="D150" s="13"/>
      <c r="E150" s="33"/>
      <c r="F150" s="33"/>
      <c r="G150" s="43"/>
    </row>
    <row r="151" spans="2:7" ht="15.75">
      <c r="B151" s="40"/>
      <c r="C151" s="14"/>
      <c r="D151" s="13"/>
      <c r="E151" s="33"/>
      <c r="F151" s="33"/>
      <c r="G151" s="43"/>
    </row>
    <row r="152" spans="2:7" ht="15.75">
      <c r="B152" s="40"/>
      <c r="C152" s="14"/>
      <c r="D152" s="13"/>
      <c r="E152" s="33"/>
      <c r="F152" s="33"/>
      <c r="G152" s="43"/>
    </row>
    <row r="153" spans="2:7" ht="15.75">
      <c r="B153" s="40"/>
      <c r="C153" s="14"/>
      <c r="D153" s="13"/>
      <c r="E153" s="33"/>
      <c r="F153" s="33"/>
      <c r="G153" s="43"/>
    </row>
    <row r="154" spans="2:7" ht="15.75">
      <c r="B154" s="40"/>
      <c r="C154" s="14"/>
      <c r="D154" s="13"/>
      <c r="E154" s="33"/>
      <c r="F154" s="33"/>
      <c r="G154" s="43"/>
    </row>
    <row r="155" spans="2:7" ht="15.75">
      <c r="B155" s="40"/>
      <c r="C155" s="14"/>
      <c r="D155" s="13"/>
      <c r="E155" s="33"/>
      <c r="F155" s="33"/>
      <c r="G155" s="43"/>
    </row>
  </sheetData>
  <printOptions gridLines="1" horizontalCentered="1"/>
  <pageMargins left="0.7874015748031497" right="0.7874015748031497" top="0.45" bottom="0.85" header="0.15" footer="0.63"/>
  <pageSetup horizontalDpi="300" verticalDpi="300" orientation="portrait" paperSize="9" scale="99" r:id="rId1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155"/>
  <sheetViews>
    <sheetView workbookViewId="0" topLeftCell="A1">
      <selection activeCell="A1" sqref="A1"/>
    </sheetView>
  </sheetViews>
  <sheetFormatPr defaultColWidth="11.00390625" defaultRowHeight="15.75"/>
  <cols>
    <col min="1" max="1" width="3.875" style="0" customWidth="1"/>
    <col min="2" max="2" width="2.625" style="0" customWidth="1"/>
    <col min="3" max="3" width="17.625" style="0" customWidth="1"/>
    <col min="4" max="4" width="1.75390625" style="0" customWidth="1"/>
    <col min="5" max="5" width="4.875" style="63" bestFit="1" customWidth="1"/>
    <col min="6" max="7" width="5.625" style="63" bestFit="1" customWidth="1"/>
    <col min="8" max="8" width="5.125" style="63" bestFit="1" customWidth="1"/>
  </cols>
  <sheetData>
    <row r="1" spans="1:8" ht="15.75">
      <c r="A1">
        <v>1</v>
      </c>
      <c r="B1" s="33" t="s">
        <v>9</v>
      </c>
      <c r="C1" s="16" t="s">
        <v>10</v>
      </c>
      <c r="D1" s="34"/>
      <c r="E1" s="35">
        <v>20</v>
      </c>
      <c r="F1" s="35">
        <f>1699+89</f>
        <v>1788</v>
      </c>
      <c r="G1" s="35">
        <f>1267+81</f>
        <v>1348</v>
      </c>
      <c r="H1" s="65">
        <f aca="true" t="shared" si="0" ref="H1:H13">F1-G1</f>
        <v>440</v>
      </c>
    </row>
    <row r="2" spans="1:8" ht="15.75">
      <c r="A2">
        <f aca="true" t="shared" si="1" ref="A2:A34">A1+1</f>
        <v>2</v>
      </c>
      <c r="B2" s="33" t="s">
        <v>42</v>
      </c>
      <c r="C2" s="16" t="s">
        <v>62</v>
      </c>
      <c r="D2" s="34"/>
      <c r="E2" s="35">
        <v>20</v>
      </c>
      <c r="F2" s="35">
        <f>1729+108</f>
        <v>1837</v>
      </c>
      <c r="G2" s="35">
        <f>1377+74</f>
        <v>1451</v>
      </c>
      <c r="H2" s="65">
        <f t="shared" si="0"/>
        <v>386</v>
      </c>
    </row>
    <row r="3" spans="1:8" ht="15.75">
      <c r="A3">
        <f t="shared" si="1"/>
        <v>3</v>
      </c>
      <c r="B3" s="33" t="s">
        <v>19</v>
      </c>
      <c r="C3" s="49" t="s">
        <v>83</v>
      </c>
      <c r="D3" s="34"/>
      <c r="E3" s="35">
        <v>20</v>
      </c>
      <c r="F3" s="35">
        <f>1659+72</f>
        <v>1731</v>
      </c>
      <c r="G3" s="35">
        <f>1294+70</f>
        <v>1364</v>
      </c>
      <c r="H3" s="65">
        <f t="shared" si="0"/>
        <v>367</v>
      </c>
    </row>
    <row r="4" spans="1:8" ht="15.75">
      <c r="A4">
        <f t="shared" si="1"/>
        <v>4</v>
      </c>
      <c r="B4" s="40" t="s">
        <v>34</v>
      </c>
      <c r="C4" s="14" t="s">
        <v>27</v>
      </c>
      <c r="D4" s="34"/>
      <c r="E4" s="35">
        <v>20</v>
      </c>
      <c r="F4" s="35">
        <v>1623</v>
      </c>
      <c r="G4" s="35">
        <v>1278</v>
      </c>
      <c r="H4" s="65">
        <f t="shared" si="0"/>
        <v>345</v>
      </c>
    </row>
    <row r="5" spans="1:8" ht="15.75">
      <c r="A5">
        <f t="shared" si="1"/>
        <v>5</v>
      </c>
      <c r="B5" s="33" t="s">
        <v>34</v>
      </c>
      <c r="C5" s="16" t="s">
        <v>153</v>
      </c>
      <c r="D5" s="34"/>
      <c r="E5" s="35">
        <v>20</v>
      </c>
      <c r="F5" s="35">
        <f>1687+94</f>
        <v>1781</v>
      </c>
      <c r="G5" s="35">
        <f>1380+76</f>
        <v>1456</v>
      </c>
      <c r="H5" s="65">
        <f t="shared" si="0"/>
        <v>325</v>
      </c>
    </row>
    <row r="6" spans="1:8" ht="15.75">
      <c r="A6">
        <f t="shared" si="1"/>
        <v>6</v>
      </c>
      <c r="B6" s="40" t="s">
        <v>42</v>
      </c>
      <c r="C6" s="14" t="s">
        <v>138</v>
      </c>
      <c r="D6" s="34"/>
      <c r="E6" s="35">
        <v>20</v>
      </c>
      <c r="F6" s="35">
        <f>1622+104</f>
        <v>1726</v>
      </c>
      <c r="G6" s="35">
        <f>1334+74</f>
        <v>1408</v>
      </c>
      <c r="H6" s="65">
        <f t="shared" si="0"/>
        <v>318</v>
      </c>
    </row>
    <row r="7" spans="1:8" ht="15.75">
      <c r="A7">
        <f t="shared" si="1"/>
        <v>7</v>
      </c>
      <c r="B7" s="40" t="s">
        <v>19</v>
      </c>
      <c r="C7" s="12" t="s">
        <v>11</v>
      </c>
      <c r="D7" s="34"/>
      <c r="E7" s="35">
        <v>20</v>
      </c>
      <c r="F7" s="35">
        <v>1731</v>
      </c>
      <c r="G7" s="35">
        <v>1432</v>
      </c>
      <c r="H7" s="65">
        <f t="shared" si="0"/>
        <v>299</v>
      </c>
    </row>
    <row r="8" spans="1:8" ht="15.75">
      <c r="A8">
        <f t="shared" si="1"/>
        <v>8</v>
      </c>
      <c r="B8" s="40" t="s">
        <v>9</v>
      </c>
      <c r="C8" s="14" t="s">
        <v>127</v>
      </c>
      <c r="D8" s="34"/>
      <c r="E8" s="35">
        <v>20</v>
      </c>
      <c r="F8" s="35">
        <f>1912+110</f>
        <v>2022</v>
      </c>
      <c r="G8" s="35">
        <f>1658+80</f>
        <v>1738</v>
      </c>
      <c r="H8" s="65">
        <f t="shared" si="0"/>
        <v>284</v>
      </c>
    </row>
    <row r="9" spans="1:8" ht="15.75">
      <c r="A9">
        <f t="shared" si="1"/>
        <v>9</v>
      </c>
      <c r="B9" s="33" t="s">
        <v>26</v>
      </c>
      <c r="C9" s="16" t="s">
        <v>56</v>
      </c>
      <c r="D9" s="34"/>
      <c r="E9" s="35">
        <v>20</v>
      </c>
      <c r="F9" s="35">
        <f>1525+90</f>
        <v>1615</v>
      </c>
      <c r="G9" s="35">
        <f>1275+65</f>
        <v>1340</v>
      </c>
      <c r="H9" s="65">
        <f t="shared" si="0"/>
        <v>275</v>
      </c>
    </row>
    <row r="10" spans="1:8" ht="15.75">
      <c r="A10">
        <f t="shared" si="1"/>
        <v>10</v>
      </c>
      <c r="B10" s="33" t="s">
        <v>22</v>
      </c>
      <c r="C10" s="16" t="s">
        <v>28</v>
      </c>
      <c r="D10" s="34"/>
      <c r="E10" s="35">
        <v>20</v>
      </c>
      <c r="F10" s="35">
        <f>1473+84</f>
        <v>1557</v>
      </c>
      <c r="G10" s="35">
        <f>1210+77</f>
        <v>1287</v>
      </c>
      <c r="H10" s="65">
        <f t="shared" si="0"/>
        <v>270</v>
      </c>
    </row>
    <row r="11" spans="1:8" ht="15.75">
      <c r="A11">
        <f t="shared" si="1"/>
        <v>11</v>
      </c>
      <c r="B11" s="40" t="s">
        <v>47</v>
      </c>
      <c r="C11" s="14" t="s">
        <v>125</v>
      </c>
      <c r="D11" s="34"/>
      <c r="E11" s="35">
        <v>20</v>
      </c>
      <c r="F11" s="35">
        <f>1732+79</f>
        <v>1811</v>
      </c>
      <c r="G11" s="35">
        <f>1450+91</f>
        <v>1541</v>
      </c>
      <c r="H11" s="65">
        <f t="shared" si="0"/>
        <v>270</v>
      </c>
    </row>
    <row r="12" spans="1:8" ht="15.75">
      <c r="A12">
        <f t="shared" si="1"/>
        <v>12</v>
      </c>
      <c r="B12" s="40" t="s">
        <v>36</v>
      </c>
      <c r="C12" s="14" t="s">
        <v>116</v>
      </c>
      <c r="D12" s="34"/>
      <c r="E12" s="35">
        <v>20</v>
      </c>
      <c r="F12" s="35">
        <f>1559+62</f>
        <v>1621</v>
      </c>
      <c r="G12" s="35">
        <f>1328+45</f>
        <v>1373</v>
      </c>
      <c r="H12" s="65">
        <f t="shared" si="0"/>
        <v>248</v>
      </c>
    </row>
    <row r="13" spans="1:8" ht="15.75">
      <c r="A13">
        <f t="shared" si="1"/>
        <v>13</v>
      </c>
      <c r="B13" s="40" t="s">
        <v>48</v>
      </c>
      <c r="C13" s="53" t="s">
        <v>135</v>
      </c>
      <c r="D13" s="34"/>
      <c r="E13" s="35">
        <v>20</v>
      </c>
      <c r="F13" s="35">
        <f>1577+87</f>
        <v>1664</v>
      </c>
      <c r="G13" s="35">
        <f>1377+44</f>
        <v>1421</v>
      </c>
      <c r="H13" s="65">
        <f t="shared" si="0"/>
        <v>243</v>
      </c>
    </row>
    <row r="14" spans="1:8" ht="15.75">
      <c r="A14">
        <f t="shared" si="1"/>
        <v>14</v>
      </c>
      <c r="B14" s="40" t="s">
        <v>34</v>
      </c>
      <c r="C14" s="14" t="s">
        <v>59</v>
      </c>
      <c r="D14" s="34"/>
      <c r="E14" s="35">
        <v>20</v>
      </c>
      <c r="F14" s="35">
        <f>1653+78</f>
        <v>1731</v>
      </c>
      <c r="G14" s="35">
        <f>1415+80</f>
        <v>1495</v>
      </c>
      <c r="H14" s="65">
        <f aca="true" t="shared" si="2" ref="H14:H26">F14-G14</f>
        <v>236</v>
      </c>
    </row>
    <row r="15" spans="1:8" ht="15.75">
      <c r="A15">
        <f t="shared" si="1"/>
        <v>15</v>
      </c>
      <c r="B15" s="33" t="s">
        <v>38</v>
      </c>
      <c r="C15" s="50" t="s">
        <v>143</v>
      </c>
      <c r="D15" s="34"/>
      <c r="E15" s="35">
        <v>20</v>
      </c>
      <c r="F15" s="35">
        <f>1508+67</f>
        <v>1575</v>
      </c>
      <c r="G15" s="35">
        <f>1278+72</f>
        <v>1350</v>
      </c>
      <c r="H15" s="65">
        <f t="shared" si="2"/>
        <v>225</v>
      </c>
    </row>
    <row r="16" spans="1:8" ht="15.75">
      <c r="A16">
        <f t="shared" si="1"/>
        <v>16</v>
      </c>
      <c r="B16" s="40" t="s">
        <v>26</v>
      </c>
      <c r="C16" s="14" t="s">
        <v>31</v>
      </c>
      <c r="D16" s="34"/>
      <c r="E16" s="35">
        <v>20</v>
      </c>
      <c r="F16" s="35">
        <f>1530+83</f>
        <v>1613</v>
      </c>
      <c r="G16" s="35">
        <f>1323+72</f>
        <v>1395</v>
      </c>
      <c r="H16" s="65">
        <f t="shared" si="2"/>
        <v>218</v>
      </c>
    </row>
    <row r="17" spans="1:8" ht="15.75">
      <c r="A17">
        <f t="shared" si="1"/>
        <v>17</v>
      </c>
      <c r="B17" s="33" t="s">
        <v>48</v>
      </c>
      <c r="C17" s="16" t="s">
        <v>99</v>
      </c>
      <c r="D17" s="34"/>
      <c r="E17" s="35">
        <v>20</v>
      </c>
      <c r="F17" s="35">
        <f>1589+104</f>
        <v>1693</v>
      </c>
      <c r="G17" s="35">
        <v>1476</v>
      </c>
      <c r="H17" s="65">
        <f t="shared" si="2"/>
        <v>217</v>
      </c>
    </row>
    <row r="18" spans="1:8" ht="15.75">
      <c r="A18">
        <f t="shared" si="1"/>
        <v>18</v>
      </c>
      <c r="B18" s="40" t="s">
        <v>30</v>
      </c>
      <c r="C18" s="16" t="s">
        <v>158</v>
      </c>
      <c r="D18" s="34"/>
      <c r="E18" s="35">
        <v>20</v>
      </c>
      <c r="F18" s="35">
        <f>1607+94</f>
        <v>1701</v>
      </c>
      <c r="G18" s="35">
        <f>1420+66</f>
        <v>1486</v>
      </c>
      <c r="H18" s="65">
        <f t="shared" si="2"/>
        <v>215</v>
      </c>
    </row>
    <row r="19" spans="1:8" ht="15.75">
      <c r="A19">
        <f t="shared" si="1"/>
        <v>19</v>
      </c>
      <c r="B19" s="40" t="s">
        <v>30</v>
      </c>
      <c r="C19" s="14" t="s">
        <v>58</v>
      </c>
      <c r="D19" s="34"/>
      <c r="E19" s="35">
        <v>20</v>
      </c>
      <c r="F19" s="35">
        <f>1499+101</f>
        <v>1600</v>
      </c>
      <c r="G19" s="35">
        <f>1316+71</f>
        <v>1387</v>
      </c>
      <c r="H19" s="65">
        <f t="shared" si="2"/>
        <v>213</v>
      </c>
    </row>
    <row r="20" spans="1:8" ht="15.75">
      <c r="A20">
        <f t="shared" si="1"/>
        <v>20</v>
      </c>
      <c r="B20" s="33" t="s">
        <v>15</v>
      </c>
      <c r="C20" s="23" t="s">
        <v>53</v>
      </c>
      <c r="D20" s="45"/>
      <c r="E20" s="46">
        <v>20</v>
      </c>
      <c r="F20" s="46">
        <f>1591+91</f>
        <v>1682</v>
      </c>
      <c r="G20" s="46">
        <f>1395+78</f>
        <v>1473</v>
      </c>
      <c r="H20" s="65">
        <f t="shared" si="2"/>
        <v>209</v>
      </c>
    </row>
    <row r="21" spans="1:8" ht="15.75">
      <c r="A21">
        <f t="shared" si="1"/>
        <v>21</v>
      </c>
      <c r="B21" s="40" t="s">
        <v>38</v>
      </c>
      <c r="C21" s="14" t="s">
        <v>145</v>
      </c>
      <c r="D21" s="34"/>
      <c r="E21" s="35">
        <v>20</v>
      </c>
      <c r="F21" s="35">
        <f>1630+91</f>
        <v>1721</v>
      </c>
      <c r="G21" s="35">
        <f>1448+74</f>
        <v>1522</v>
      </c>
      <c r="H21" s="65">
        <f t="shared" si="2"/>
        <v>199</v>
      </c>
    </row>
    <row r="22" spans="1:8" ht="15.75">
      <c r="A22">
        <f t="shared" si="1"/>
        <v>22</v>
      </c>
      <c r="B22" s="40" t="s">
        <v>48</v>
      </c>
      <c r="C22" s="52" t="s">
        <v>134</v>
      </c>
      <c r="D22" s="34"/>
      <c r="E22" s="35">
        <v>20</v>
      </c>
      <c r="F22" s="35">
        <f>1495+78</f>
        <v>1573</v>
      </c>
      <c r="G22" s="35">
        <f>1311+70</f>
        <v>1381</v>
      </c>
      <c r="H22" s="65">
        <f t="shared" si="2"/>
        <v>192</v>
      </c>
    </row>
    <row r="23" spans="1:8" ht="15.75">
      <c r="A23">
        <f t="shared" si="1"/>
        <v>23</v>
      </c>
      <c r="B23" s="40" t="s">
        <v>30</v>
      </c>
      <c r="C23" s="53" t="s">
        <v>159</v>
      </c>
      <c r="D23" s="34"/>
      <c r="E23" s="35">
        <v>20</v>
      </c>
      <c r="F23" s="35">
        <f>1526+79</f>
        <v>1605</v>
      </c>
      <c r="G23" s="35">
        <f>1354+61</f>
        <v>1415</v>
      </c>
      <c r="H23" s="65">
        <f t="shared" si="2"/>
        <v>190</v>
      </c>
    </row>
    <row r="24" spans="1:8" ht="15.75">
      <c r="A24">
        <f t="shared" si="1"/>
        <v>24</v>
      </c>
      <c r="B24" s="40" t="s">
        <v>22</v>
      </c>
      <c r="C24" s="14" t="s">
        <v>57</v>
      </c>
      <c r="D24" s="34"/>
      <c r="E24" s="35">
        <v>20</v>
      </c>
      <c r="F24" s="35">
        <f>1534+72</f>
        <v>1606</v>
      </c>
      <c r="G24" s="35">
        <f>1364+66</f>
        <v>1430</v>
      </c>
      <c r="H24" s="65">
        <f t="shared" si="2"/>
        <v>176</v>
      </c>
    </row>
    <row r="25" spans="1:8" ht="15.75">
      <c r="A25">
        <f t="shared" si="1"/>
        <v>25</v>
      </c>
      <c r="B25" s="40" t="s">
        <v>36</v>
      </c>
      <c r="C25" s="14" t="s">
        <v>64</v>
      </c>
      <c r="D25" s="34"/>
      <c r="E25" s="35">
        <v>20</v>
      </c>
      <c r="F25" s="35">
        <f>1573+101</f>
        <v>1674</v>
      </c>
      <c r="G25" s="35">
        <f>1412+91</f>
        <v>1503</v>
      </c>
      <c r="H25" s="65">
        <f>F25-G25</f>
        <v>171</v>
      </c>
    </row>
    <row r="26" spans="1:8" ht="15.75">
      <c r="A26">
        <f t="shared" si="1"/>
        <v>26</v>
      </c>
      <c r="B26" s="40" t="s">
        <v>34</v>
      </c>
      <c r="C26" s="52" t="s">
        <v>122</v>
      </c>
      <c r="D26" s="34"/>
      <c r="E26" s="35">
        <v>20</v>
      </c>
      <c r="F26" s="35">
        <f>1662+60</f>
        <v>1722</v>
      </c>
      <c r="G26" s="35">
        <f>1481+72</f>
        <v>1553</v>
      </c>
      <c r="H26" s="65">
        <f t="shared" si="2"/>
        <v>169</v>
      </c>
    </row>
    <row r="27" spans="1:8" ht="15.75">
      <c r="A27">
        <f t="shared" si="1"/>
        <v>27</v>
      </c>
      <c r="B27" s="40" t="s">
        <v>47</v>
      </c>
      <c r="C27" s="14" t="s">
        <v>44</v>
      </c>
      <c r="D27" s="34"/>
      <c r="E27" s="35">
        <v>20</v>
      </c>
      <c r="F27" s="35">
        <f>1643+74</f>
        <v>1717</v>
      </c>
      <c r="G27" s="35">
        <f>1476+72</f>
        <v>1548</v>
      </c>
      <c r="H27" s="65">
        <f aca="true" t="shared" si="3" ref="H27:H38">F27-G27</f>
        <v>169</v>
      </c>
    </row>
    <row r="28" spans="1:8" ht="15.75">
      <c r="A28">
        <f t="shared" si="1"/>
        <v>28</v>
      </c>
      <c r="B28" s="33" t="s">
        <v>47</v>
      </c>
      <c r="C28" s="50" t="s">
        <v>104</v>
      </c>
      <c r="D28" s="34"/>
      <c r="E28" s="35">
        <v>20</v>
      </c>
      <c r="F28" s="35">
        <f>1735+83</f>
        <v>1818</v>
      </c>
      <c r="G28" s="35">
        <f>1590+67</f>
        <v>1657</v>
      </c>
      <c r="H28" s="65">
        <f t="shared" si="3"/>
        <v>161</v>
      </c>
    </row>
    <row r="29" spans="1:8" ht="15.75">
      <c r="A29">
        <f t="shared" si="1"/>
        <v>29</v>
      </c>
      <c r="B29" s="40" t="s">
        <v>15</v>
      </c>
      <c r="C29" s="54" t="s">
        <v>90</v>
      </c>
      <c r="D29" s="45"/>
      <c r="E29" s="46">
        <v>20</v>
      </c>
      <c r="F29" s="46">
        <f>1440+75</f>
        <v>1515</v>
      </c>
      <c r="G29" s="46">
        <f>1283+73</f>
        <v>1356</v>
      </c>
      <c r="H29" s="65">
        <f t="shared" si="3"/>
        <v>159</v>
      </c>
    </row>
    <row r="30" spans="1:8" ht="15.75">
      <c r="A30">
        <f t="shared" si="1"/>
        <v>30</v>
      </c>
      <c r="B30" s="40" t="s">
        <v>34</v>
      </c>
      <c r="C30" s="14" t="s">
        <v>65</v>
      </c>
      <c r="D30" s="34"/>
      <c r="E30" s="35">
        <v>20</v>
      </c>
      <c r="F30" s="35">
        <f>1543+80</f>
        <v>1623</v>
      </c>
      <c r="G30" s="35">
        <f>1387+78</f>
        <v>1465</v>
      </c>
      <c r="H30" s="65">
        <f t="shared" si="3"/>
        <v>158</v>
      </c>
    </row>
    <row r="31" spans="1:8" ht="15.75">
      <c r="A31">
        <f t="shared" si="1"/>
        <v>31</v>
      </c>
      <c r="B31" s="40" t="s">
        <v>15</v>
      </c>
      <c r="C31" s="22" t="s">
        <v>14</v>
      </c>
      <c r="D31" s="45"/>
      <c r="E31" s="46">
        <v>20</v>
      </c>
      <c r="F31" s="46">
        <v>1637</v>
      </c>
      <c r="G31" s="46">
        <v>1481</v>
      </c>
      <c r="H31" s="65">
        <f t="shared" si="3"/>
        <v>156</v>
      </c>
    </row>
    <row r="32" spans="1:8" ht="15.75">
      <c r="A32">
        <f t="shared" si="1"/>
        <v>32</v>
      </c>
      <c r="B32" s="40" t="s">
        <v>15</v>
      </c>
      <c r="C32" s="22" t="s">
        <v>54</v>
      </c>
      <c r="D32" s="45"/>
      <c r="E32" s="46">
        <v>20</v>
      </c>
      <c r="F32" s="46">
        <f>1522+70</f>
        <v>1592</v>
      </c>
      <c r="G32" s="46">
        <f>1371+68</f>
        <v>1439</v>
      </c>
      <c r="H32" s="65">
        <f t="shared" si="3"/>
        <v>153</v>
      </c>
    </row>
    <row r="33" spans="1:8" ht="15.75">
      <c r="A33">
        <f t="shared" si="1"/>
        <v>33</v>
      </c>
      <c r="B33" s="33" t="s">
        <v>30</v>
      </c>
      <c r="C33" s="68" t="s">
        <v>60</v>
      </c>
      <c r="D33" s="34"/>
      <c r="E33" s="35">
        <v>20</v>
      </c>
      <c r="F33" s="35">
        <f>1667+67</f>
        <v>1734</v>
      </c>
      <c r="G33" s="35">
        <f>1530+62</f>
        <v>1592</v>
      </c>
      <c r="H33" s="65">
        <f t="shared" si="3"/>
        <v>142</v>
      </c>
    </row>
    <row r="34" spans="1:8" ht="15.75">
      <c r="A34">
        <f t="shared" si="1"/>
        <v>34</v>
      </c>
      <c r="B34" s="40" t="s">
        <v>38</v>
      </c>
      <c r="C34" s="12" t="s">
        <v>146</v>
      </c>
      <c r="D34" s="34"/>
      <c r="E34" s="35">
        <v>20</v>
      </c>
      <c r="F34" s="35">
        <f>1634+71</f>
        <v>1705</v>
      </c>
      <c r="G34" s="35">
        <f>1508+55</f>
        <v>1563</v>
      </c>
      <c r="H34" s="65">
        <f t="shared" si="3"/>
        <v>142</v>
      </c>
    </row>
    <row r="35" spans="1:8" ht="15.75">
      <c r="A35">
        <f aca="true" t="shared" si="4" ref="A35:A47">A34+1</f>
        <v>35</v>
      </c>
      <c r="B35" s="40" t="s">
        <v>30</v>
      </c>
      <c r="C35" s="14" t="s">
        <v>61</v>
      </c>
      <c r="D35" s="34"/>
      <c r="E35" s="35">
        <v>20</v>
      </c>
      <c r="F35" s="35">
        <f>1397+93</f>
        <v>1490</v>
      </c>
      <c r="G35" s="35">
        <f>1283+72</f>
        <v>1355</v>
      </c>
      <c r="H35" s="65">
        <f t="shared" si="3"/>
        <v>135</v>
      </c>
    </row>
    <row r="36" spans="1:8" ht="15.75">
      <c r="A36">
        <f t="shared" si="4"/>
        <v>36</v>
      </c>
      <c r="B36" s="40" t="s">
        <v>38</v>
      </c>
      <c r="C36" s="14" t="s">
        <v>41</v>
      </c>
      <c r="D36" s="34"/>
      <c r="E36" s="35">
        <v>20</v>
      </c>
      <c r="F36" s="35">
        <f>1525+80</f>
        <v>1605</v>
      </c>
      <c r="G36" s="35">
        <f>1413+64</f>
        <v>1477</v>
      </c>
      <c r="H36" s="65">
        <f t="shared" si="3"/>
        <v>128</v>
      </c>
    </row>
    <row r="37" spans="1:8" ht="15.75">
      <c r="A37">
        <f t="shared" si="4"/>
        <v>37</v>
      </c>
      <c r="B37" s="40" t="s">
        <v>26</v>
      </c>
      <c r="C37" s="56" t="s">
        <v>162</v>
      </c>
      <c r="D37" s="34"/>
      <c r="E37" s="35">
        <v>20</v>
      </c>
      <c r="F37" s="35">
        <f>1606+72</f>
        <v>1678</v>
      </c>
      <c r="G37" s="35">
        <f>1481+83</f>
        <v>1564</v>
      </c>
      <c r="H37" s="65">
        <f t="shared" si="3"/>
        <v>114</v>
      </c>
    </row>
    <row r="38" spans="1:8" ht="15.75">
      <c r="A38">
        <f>A37+1</f>
        <v>38</v>
      </c>
      <c r="B38" s="40" t="s">
        <v>48</v>
      </c>
      <c r="C38" s="12" t="s">
        <v>67</v>
      </c>
      <c r="D38" s="34"/>
      <c r="E38" s="35">
        <v>20</v>
      </c>
      <c r="F38" s="35">
        <f>1517+76</f>
        <v>1593</v>
      </c>
      <c r="G38" s="35">
        <f>1380+104</f>
        <v>1484</v>
      </c>
      <c r="H38" s="65">
        <f t="shared" si="3"/>
        <v>109</v>
      </c>
    </row>
    <row r="39" spans="1:8" ht="15.75">
      <c r="A39">
        <f>A38+1</f>
        <v>39</v>
      </c>
      <c r="B39" s="40" t="s">
        <v>47</v>
      </c>
      <c r="C39" s="12" t="s">
        <v>167</v>
      </c>
      <c r="D39" s="34"/>
      <c r="E39" s="35">
        <v>20</v>
      </c>
      <c r="F39" s="35">
        <f>1661+95</f>
        <v>1756</v>
      </c>
      <c r="G39" s="35">
        <f>1574+80</f>
        <v>1654</v>
      </c>
      <c r="H39" s="65">
        <f aca="true" t="shared" si="5" ref="H39:H53">F39-G39</f>
        <v>102</v>
      </c>
    </row>
    <row r="40" spans="1:8" ht="15.75">
      <c r="A40">
        <f t="shared" si="4"/>
        <v>40</v>
      </c>
      <c r="B40" s="40" t="s">
        <v>22</v>
      </c>
      <c r="C40" s="14" t="s">
        <v>164</v>
      </c>
      <c r="D40" s="34"/>
      <c r="E40" s="35">
        <v>20</v>
      </c>
      <c r="F40" s="35">
        <f>1669+77</f>
        <v>1746</v>
      </c>
      <c r="G40" s="35">
        <f>1565+84</f>
        <v>1649</v>
      </c>
      <c r="H40" s="65">
        <f t="shared" si="5"/>
        <v>97</v>
      </c>
    </row>
    <row r="41" spans="1:8" ht="15.75">
      <c r="A41">
        <f t="shared" si="4"/>
        <v>41</v>
      </c>
      <c r="B41" s="40" t="s">
        <v>26</v>
      </c>
      <c r="C41" s="14" t="s">
        <v>25</v>
      </c>
      <c r="D41" s="34"/>
      <c r="E41" s="35">
        <v>20</v>
      </c>
      <c r="F41" s="35">
        <f>1675+98</f>
        <v>1773</v>
      </c>
      <c r="G41" s="35">
        <f>1611+65</f>
        <v>1676</v>
      </c>
      <c r="H41" s="65">
        <f t="shared" si="5"/>
        <v>97</v>
      </c>
    </row>
    <row r="42" spans="1:8" ht="15.75">
      <c r="A42">
        <f t="shared" si="4"/>
        <v>42</v>
      </c>
      <c r="B42" s="40" t="s">
        <v>26</v>
      </c>
      <c r="C42" s="14" t="s">
        <v>73</v>
      </c>
      <c r="D42" s="34"/>
      <c r="E42" s="35">
        <v>20</v>
      </c>
      <c r="F42" s="35">
        <f>1603+77</f>
        <v>1680</v>
      </c>
      <c r="G42" s="35">
        <f>1488+97</f>
        <v>1585</v>
      </c>
      <c r="H42" s="65">
        <f t="shared" si="5"/>
        <v>95</v>
      </c>
    </row>
    <row r="43" spans="1:8" ht="15.75">
      <c r="A43">
        <f t="shared" si="4"/>
        <v>43</v>
      </c>
      <c r="B43" s="40" t="s">
        <v>36</v>
      </c>
      <c r="C43" s="14" t="s">
        <v>150</v>
      </c>
      <c r="D43" s="34"/>
      <c r="E43" s="35">
        <v>20</v>
      </c>
      <c r="F43" s="35">
        <f>1624+116</f>
        <v>1740</v>
      </c>
      <c r="G43" s="35">
        <f>1557+91</f>
        <v>1648</v>
      </c>
      <c r="H43" s="65">
        <f t="shared" si="5"/>
        <v>92</v>
      </c>
    </row>
    <row r="44" spans="1:8" ht="15.75">
      <c r="A44">
        <f t="shared" si="4"/>
        <v>44</v>
      </c>
      <c r="B44" s="40" t="s">
        <v>19</v>
      </c>
      <c r="C44" s="14" t="s">
        <v>85</v>
      </c>
      <c r="D44" s="34"/>
      <c r="E44" s="35">
        <v>20</v>
      </c>
      <c r="F44" s="35">
        <v>1667</v>
      </c>
      <c r="G44" s="35">
        <v>1577</v>
      </c>
      <c r="H44" s="65">
        <f>F44-G44</f>
        <v>90</v>
      </c>
    </row>
    <row r="45" spans="1:8" ht="15.75">
      <c r="A45">
        <f t="shared" si="4"/>
        <v>45</v>
      </c>
      <c r="B45" s="40" t="s">
        <v>22</v>
      </c>
      <c r="C45" s="52" t="s">
        <v>77</v>
      </c>
      <c r="D45" s="34"/>
      <c r="E45" s="35">
        <v>20</v>
      </c>
      <c r="F45" s="35">
        <f>1462+87</f>
        <v>1549</v>
      </c>
      <c r="G45" s="35">
        <f>1371+88</f>
        <v>1459</v>
      </c>
      <c r="H45" s="65">
        <f t="shared" si="5"/>
        <v>90</v>
      </c>
    </row>
    <row r="46" spans="1:8" ht="15.75">
      <c r="A46">
        <f t="shared" si="4"/>
        <v>46</v>
      </c>
      <c r="B46" s="40" t="s">
        <v>42</v>
      </c>
      <c r="C46" s="14" t="s">
        <v>43</v>
      </c>
      <c r="D46" s="34"/>
      <c r="E46" s="35">
        <v>20</v>
      </c>
      <c r="F46" s="35">
        <f>1633+106</f>
        <v>1739</v>
      </c>
      <c r="G46" s="35">
        <f>1558+95</f>
        <v>1653</v>
      </c>
      <c r="H46" s="65">
        <f t="shared" si="5"/>
        <v>86</v>
      </c>
    </row>
    <row r="47" spans="1:8" ht="15.75">
      <c r="A47">
        <f t="shared" si="4"/>
        <v>47</v>
      </c>
      <c r="B47" s="40" t="s">
        <v>9</v>
      </c>
      <c r="C47" s="12" t="s">
        <v>13</v>
      </c>
      <c r="D47" s="34"/>
      <c r="E47" s="35">
        <v>20</v>
      </c>
      <c r="F47" s="35">
        <f>1632+78</f>
        <v>1710</v>
      </c>
      <c r="G47" s="35">
        <f>1555+75</f>
        <v>1630</v>
      </c>
      <c r="H47" s="65">
        <f t="shared" si="5"/>
        <v>80</v>
      </c>
    </row>
    <row r="48" spans="1:8" ht="15.75">
      <c r="A48">
        <f aca="true" t="shared" si="6" ref="A48:A53">A47+1</f>
        <v>48</v>
      </c>
      <c r="B48" s="33" t="s">
        <v>36</v>
      </c>
      <c r="C48" s="49" t="s">
        <v>117</v>
      </c>
      <c r="D48" s="34"/>
      <c r="E48" s="35">
        <v>19</v>
      </c>
      <c r="F48" s="35">
        <f>1292+76</f>
        <v>1368</v>
      </c>
      <c r="G48" s="35">
        <f>1219+71</f>
        <v>1290</v>
      </c>
      <c r="H48" s="65">
        <f t="shared" si="5"/>
        <v>78</v>
      </c>
    </row>
    <row r="49" spans="1:8" ht="15.75">
      <c r="A49">
        <f t="shared" si="6"/>
        <v>49</v>
      </c>
      <c r="B49" s="40" t="s">
        <v>19</v>
      </c>
      <c r="C49" s="14" t="s">
        <v>84</v>
      </c>
      <c r="D49" s="34"/>
      <c r="E49" s="35">
        <v>20</v>
      </c>
      <c r="F49" s="35">
        <f>1584+88</f>
        <v>1672</v>
      </c>
      <c r="G49" s="35">
        <f>1520+75</f>
        <v>1595</v>
      </c>
      <c r="H49" s="65">
        <f t="shared" si="5"/>
        <v>77</v>
      </c>
    </row>
    <row r="50" spans="1:8" ht="15.75">
      <c r="A50">
        <f t="shared" si="6"/>
        <v>50</v>
      </c>
      <c r="B50" s="40" t="s">
        <v>48</v>
      </c>
      <c r="C50" s="53" t="s">
        <v>100</v>
      </c>
      <c r="D50" s="34"/>
      <c r="E50" s="35">
        <v>20</v>
      </c>
      <c r="F50" s="35">
        <f>1447+91</f>
        <v>1538</v>
      </c>
      <c r="G50" s="35">
        <f>1404+59</f>
        <v>1463</v>
      </c>
      <c r="H50" s="65">
        <f t="shared" si="5"/>
        <v>75</v>
      </c>
    </row>
    <row r="51" spans="1:8" ht="15.75">
      <c r="A51">
        <f t="shared" si="6"/>
        <v>51</v>
      </c>
      <c r="B51" s="40" t="s">
        <v>9</v>
      </c>
      <c r="C51" s="14" t="s">
        <v>128</v>
      </c>
      <c r="D51" s="34"/>
      <c r="E51" s="35">
        <v>20</v>
      </c>
      <c r="F51" s="35">
        <f>1490+88</f>
        <v>1578</v>
      </c>
      <c r="G51" s="35">
        <f>1463+45</f>
        <v>1508</v>
      </c>
      <c r="H51" s="65">
        <f aca="true" t="shared" si="7" ref="H51:H64">F51-G51</f>
        <v>70</v>
      </c>
    </row>
    <row r="52" spans="1:8" ht="15.75">
      <c r="A52">
        <f t="shared" si="6"/>
        <v>52</v>
      </c>
      <c r="B52" s="40" t="s">
        <v>22</v>
      </c>
      <c r="C52" s="53" t="s">
        <v>76</v>
      </c>
      <c r="D52" s="34"/>
      <c r="E52" s="35">
        <v>20</v>
      </c>
      <c r="F52" s="35">
        <f>1477+74</f>
        <v>1551</v>
      </c>
      <c r="G52" s="35">
        <f>1403+83</f>
        <v>1486</v>
      </c>
      <c r="H52" s="65">
        <f t="shared" si="7"/>
        <v>65</v>
      </c>
    </row>
    <row r="53" spans="1:8" ht="15.75">
      <c r="A53">
        <f t="shared" si="6"/>
        <v>53</v>
      </c>
      <c r="B53" s="40" t="s">
        <v>38</v>
      </c>
      <c r="C53" s="53" t="s">
        <v>144</v>
      </c>
      <c r="D53" s="34"/>
      <c r="E53" s="35">
        <v>20</v>
      </c>
      <c r="F53" s="35">
        <v>1658</v>
      </c>
      <c r="G53" s="35">
        <v>1593</v>
      </c>
      <c r="H53" s="65">
        <f t="shared" si="5"/>
        <v>65</v>
      </c>
    </row>
    <row r="54" spans="1:8" ht="15.75">
      <c r="A54">
        <f aca="true" t="shared" si="8" ref="A54:A61">A53+1</f>
        <v>54</v>
      </c>
      <c r="B54" s="40" t="s">
        <v>47</v>
      </c>
      <c r="C54" s="14" t="s">
        <v>66</v>
      </c>
      <c r="D54" s="34"/>
      <c r="E54" s="35">
        <v>20</v>
      </c>
      <c r="F54" s="35">
        <v>1837</v>
      </c>
      <c r="G54" s="35">
        <f>1698+76</f>
        <v>1774</v>
      </c>
      <c r="H54" s="65">
        <f>F54-G54</f>
        <v>63</v>
      </c>
    </row>
    <row r="55" spans="1:8" ht="15.75">
      <c r="A55">
        <f t="shared" si="8"/>
        <v>55</v>
      </c>
      <c r="B55" s="40" t="s">
        <v>22</v>
      </c>
      <c r="C55" s="12" t="s">
        <v>163</v>
      </c>
      <c r="D55" s="34"/>
      <c r="E55" s="35">
        <v>20</v>
      </c>
      <c r="F55" s="35">
        <f>1545+66</f>
        <v>1611</v>
      </c>
      <c r="G55" s="35">
        <f>1484+72</f>
        <v>1556</v>
      </c>
      <c r="H55" s="65">
        <f t="shared" si="7"/>
        <v>55</v>
      </c>
    </row>
    <row r="56" spans="1:8" ht="15.75">
      <c r="A56">
        <f t="shared" si="8"/>
        <v>56</v>
      </c>
      <c r="B56" s="40" t="s">
        <v>42</v>
      </c>
      <c r="C56" s="52" t="s">
        <v>139</v>
      </c>
      <c r="D56" s="34"/>
      <c r="E56" s="35">
        <v>20</v>
      </c>
      <c r="F56" s="35">
        <f>1459+75</f>
        <v>1534</v>
      </c>
      <c r="G56" s="35">
        <f>1412+68</f>
        <v>1480</v>
      </c>
      <c r="H56" s="65">
        <f t="shared" si="7"/>
        <v>54</v>
      </c>
    </row>
    <row r="57" spans="1:8" ht="15.75">
      <c r="A57">
        <f>A56+1</f>
        <v>57</v>
      </c>
      <c r="B57" s="40" t="s">
        <v>19</v>
      </c>
      <c r="C57" s="52" t="s">
        <v>86</v>
      </c>
      <c r="D57" s="34"/>
      <c r="E57" s="35">
        <v>20</v>
      </c>
      <c r="F57" s="35">
        <f>1540+73</f>
        <v>1613</v>
      </c>
      <c r="G57" s="35">
        <f>1488+77</f>
        <v>1565</v>
      </c>
      <c r="H57" s="65">
        <f t="shared" si="7"/>
        <v>48</v>
      </c>
    </row>
    <row r="58" spans="1:8" ht="15.75">
      <c r="A58">
        <f>A57+1</f>
        <v>58</v>
      </c>
      <c r="B58" s="40" t="s">
        <v>9</v>
      </c>
      <c r="C58" s="52" t="s">
        <v>95</v>
      </c>
      <c r="D58" s="34"/>
      <c r="E58" s="35">
        <v>20</v>
      </c>
      <c r="F58" s="35">
        <f>1652+81</f>
        <v>1733</v>
      </c>
      <c r="G58" s="35">
        <v>1689</v>
      </c>
      <c r="H58" s="65">
        <f t="shared" si="7"/>
        <v>44</v>
      </c>
    </row>
    <row r="59" spans="1:8" ht="15.75">
      <c r="A59">
        <f>A58+1</f>
        <v>59</v>
      </c>
      <c r="B59" s="40" t="s">
        <v>15</v>
      </c>
      <c r="C59" s="22" t="s">
        <v>16</v>
      </c>
      <c r="D59" s="45"/>
      <c r="E59" s="46">
        <v>20</v>
      </c>
      <c r="F59" s="46">
        <f>1533+73</f>
        <v>1606</v>
      </c>
      <c r="G59" s="46">
        <f>1487+75</f>
        <v>1562</v>
      </c>
      <c r="H59" s="65">
        <f t="shared" si="7"/>
        <v>44</v>
      </c>
    </row>
    <row r="60" spans="1:8" ht="15.75">
      <c r="A60">
        <f t="shared" si="8"/>
        <v>60</v>
      </c>
      <c r="B60" s="40" t="s">
        <v>19</v>
      </c>
      <c r="C60" s="14" t="s">
        <v>87</v>
      </c>
      <c r="D60" s="34"/>
      <c r="E60" s="35">
        <v>20</v>
      </c>
      <c r="F60" s="35">
        <f>1442+75</f>
        <v>1517</v>
      </c>
      <c r="G60" s="35">
        <f>1388+88</f>
        <v>1476</v>
      </c>
      <c r="H60" s="65">
        <f t="shared" si="7"/>
        <v>41</v>
      </c>
    </row>
    <row r="61" spans="1:8" ht="15.75">
      <c r="A61">
        <f t="shared" si="8"/>
        <v>61</v>
      </c>
      <c r="B61" s="40" t="s">
        <v>42</v>
      </c>
      <c r="C61" s="57" t="s">
        <v>109</v>
      </c>
      <c r="D61" s="34"/>
      <c r="E61" s="35">
        <v>20</v>
      </c>
      <c r="F61" s="35">
        <f>1564+74</f>
        <v>1638</v>
      </c>
      <c r="G61" s="35">
        <f>1489+108</f>
        <v>1597</v>
      </c>
      <c r="H61" s="65">
        <f t="shared" si="7"/>
        <v>41</v>
      </c>
    </row>
    <row r="62" spans="1:8" ht="15.75">
      <c r="A62">
        <f>A61+1</f>
        <v>62</v>
      </c>
      <c r="B62" s="40" t="s">
        <v>42</v>
      </c>
      <c r="C62" s="14" t="s">
        <v>40</v>
      </c>
      <c r="D62" s="34"/>
      <c r="E62" s="35">
        <v>20</v>
      </c>
      <c r="F62" s="35">
        <f>1490+95</f>
        <v>1585</v>
      </c>
      <c r="G62" s="35">
        <f>1438+106</f>
        <v>1544</v>
      </c>
      <c r="H62" s="65">
        <f t="shared" si="7"/>
        <v>41</v>
      </c>
    </row>
    <row r="63" spans="1:8" ht="15.75">
      <c r="A63">
        <f>A62+1</f>
        <v>63</v>
      </c>
      <c r="B63" s="40" t="s">
        <v>42</v>
      </c>
      <c r="C63" s="14" t="s">
        <v>140</v>
      </c>
      <c r="D63" s="34"/>
      <c r="E63" s="35">
        <v>20</v>
      </c>
      <c r="F63" s="35">
        <f>1572+68</f>
        <v>1640</v>
      </c>
      <c r="G63" s="35">
        <f>1526+75</f>
        <v>1601</v>
      </c>
      <c r="H63" s="65">
        <f t="shared" si="7"/>
        <v>39</v>
      </c>
    </row>
    <row r="64" spans="1:8" ht="15.75">
      <c r="A64">
        <f>A63+1</f>
        <v>64</v>
      </c>
      <c r="B64" s="40" t="s">
        <v>48</v>
      </c>
      <c r="C64" s="52" t="s">
        <v>101</v>
      </c>
      <c r="D64" s="34"/>
      <c r="E64" s="35">
        <v>20</v>
      </c>
      <c r="F64" s="35">
        <f>1525+95</f>
        <v>1620</v>
      </c>
      <c r="G64" s="35">
        <f>1518+63</f>
        <v>1581</v>
      </c>
      <c r="H64" s="65">
        <f t="shared" si="7"/>
        <v>39</v>
      </c>
    </row>
    <row r="65" spans="1:8" ht="15.75">
      <c r="A65">
        <f>A64+1</f>
        <v>65</v>
      </c>
      <c r="B65" s="40" t="s">
        <v>26</v>
      </c>
      <c r="C65" s="12" t="s">
        <v>20</v>
      </c>
      <c r="D65" s="34"/>
      <c r="E65" s="35">
        <v>20</v>
      </c>
      <c r="F65" s="35">
        <f>1449+97</f>
        <v>1546</v>
      </c>
      <c r="G65" s="35">
        <f>1441+77</f>
        <v>1518</v>
      </c>
      <c r="H65" s="65">
        <f aca="true" t="shared" si="9" ref="H65:H77">F65-G65</f>
        <v>28</v>
      </c>
    </row>
    <row r="66" spans="1:8" ht="15.75">
      <c r="A66">
        <f>A65+1</f>
        <v>66</v>
      </c>
      <c r="B66" s="40" t="s">
        <v>9</v>
      </c>
      <c r="C66" s="14" t="s">
        <v>55</v>
      </c>
      <c r="D66" s="34"/>
      <c r="E66" s="35">
        <v>20</v>
      </c>
      <c r="F66" s="35">
        <f>1640+91</f>
        <v>1731</v>
      </c>
      <c r="G66" s="35">
        <f>1625+82</f>
        <v>1707</v>
      </c>
      <c r="H66" s="65">
        <f t="shared" si="9"/>
        <v>24</v>
      </c>
    </row>
    <row r="67" spans="1:8" ht="15.75">
      <c r="A67">
        <f aca="true" t="shared" si="10" ref="A67:A81">A66+1</f>
        <v>67</v>
      </c>
      <c r="B67" s="40" t="s">
        <v>34</v>
      </c>
      <c r="C67" s="14" t="s">
        <v>155</v>
      </c>
      <c r="D67" s="34"/>
      <c r="E67" s="35">
        <v>20</v>
      </c>
      <c r="F67" s="35">
        <f>1520+90</f>
        <v>1610</v>
      </c>
      <c r="G67" s="35">
        <f>1504+82</f>
        <v>1586</v>
      </c>
      <c r="H67" s="65">
        <f t="shared" si="9"/>
        <v>24</v>
      </c>
    </row>
    <row r="68" spans="1:8" ht="15.75">
      <c r="A68">
        <f t="shared" si="10"/>
        <v>68</v>
      </c>
      <c r="B68" s="40" t="s">
        <v>34</v>
      </c>
      <c r="C68" s="52" t="s">
        <v>154</v>
      </c>
      <c r="D68" s="34"/>
      <c r="E68" s="35">
        <v>20</v>
      </c>
      <c r="F68" s="35">
        <f>1399+83</f>
        <v>1482</v>
      </c>
      <c r="G68" s="35">
        <f>1384+76</f>
        <v>1460</v>
      </c>
      <c r="H68" s="65">
        <f t="shared" si="9"/>
        <v>22</v>
      </c>
    </row>
    <row r="69" spans="1:8" ht="15.75">
      <c r="A69">
        <f t="shared" si="10"/>
        <v>69</v>
      </c>
      <c r="B69" s="40" t="s">
        <v>47</v>
      </c>
      <c r="C69" s="14" t="s">
        <v>107</v>
      </c>
      <c r="D69" s="34"/>
      <c r="E69" s="35">
        <v>20</v>
      </c>
      <c r="F69" s="35">
        <f>1617+91</f>
        <v>1708</v>
      </c>
      <c r="G69" s="35">
        <f>1615+79</f>
        <v>1694</v>
      </c>
      <c r="H69" s="65">
        <f t="shared" si="9"/>
        <v>14</v>
      </c>
    </row>
    <row r="70" spans="1:8" ht="15.75">
      <c r="A70" s="15">
        <f t="shared" si="10"/>
        <v>70</v>
      </c>
      <c r="B70" s="40" t="s">
        <v>22</v>
      </c>
      <c r="C70" s="14" t="s">
        <v>78</v>
      </c>
      <c r="D70" s="34"/>
      <c r="E70" s="35">
        <v>20</v>
      </c>
      <c r="F70" s="35">
        <v>1579</v>
      </c>
      <c r="G70" s="35">
        <v>1568</v>
      </c>
      <c r="H70" s="65">
        <f>F70-G70</f>
        <v>11</v>
      </c>
    </row>
    <row r="71" spans="1:8" ht="15.75">
      <c r="A71" s="15">
        <f t="shared" si="10"/>
        <v>71</v>
      </c>
      <c r="B71" s="40" t="s">
        <v>48</v>
      </c>
      <c r="C71" s="14" t="s">
        <v>46</v>
      </c>
      <c r="D71" s="34"/>
      <c r="E71" s="35">
        <v>20</v>
      </c>
      <c r="F71" s="35">
        <f>1447+44</f>
        <v>1491</v>
      </c>
      <c r="G71" s="35">
        <f>1394+87</f>
        <v>1481</v>
      </c>
      <c r="H71" s="65">
        <f t="shared" si="9"/>
        <v>10</v>
      </c>
    </row>
    <row r="72" spans="1:8" ht="16.5" thickBot="1">
      <c r="A72" s="10">
        <f t="shared" si="10"/>
        <v>72</v>
      </c>
      <c r="B72" s="40" t="s">
        <v>15</v>
      </c>
      <c r="C72" s="22" t="s">
        <v>91</v>
      </c>
      <c r="D72" s="45"/>
      <c r="E72" s="46">
        <v>20</v>
      </c>
      <c r="F72" s="46">
        <f>1501+63</f>
        <v>1564</v>
      </c>
      <c r="G72" s="46">
        <f>1475+84</f>
        <v>1559</v>
      </c>
      <c r="H72" s="65">
        <f t="shared" si="9"/>
        <v>5</v>
      </c>
    </row>
    <row r="73" spans="1:8" ht="15.75">
      <c r="A73">
        <f t="shared" si="10"/>
        <v>73</v>
      </c>
      <c r="B73" s="40" t="s">
        <v>47</v>
      </c>
      <c r="C73" s="53" t="s">
        <v>106</v>
      </c>
      <c r="D73" s="34"/>
      <c r="E73" s="35">
        <v>20</v>
      </c>
      <c r="F73" s="35">
        <f>1599+66</f>
        <v>1665</v>
      </c>
      <c r="G73" s="35">
        <v>1664</v>
      </c>
      <c r="H73" s="65">
        <f t="shared" si="9"/>
        <v>1</v>
      </c>
    </row>
    <row r="74" spans="1:8" ht="15.75">
      <c r="A74">
        <f t="shared" si="10"/>
        <v>74</v>
      </c>
      <c r="B74" s="40" t="s">
        <v>26</v>
      </c>
      <c r="C74" s="14" t="s">
        <v>32</v>
      </c>
      <c r="D74" s="34"/>
      <c r="E74" s="35">
        <v>20</v>
      </c>
      <c r="F74" s="35">
        <f>1622+75</f>
        <v>1697</v>
      </c>
      <c r="G74" s="35">
        <f>1627+70</f>
        <v>1697</v>
      </c>
      <c r="H74" s="65">
        <f t="shared" si="9"/>
        <v>0</v>
      </c>
    </row>
    <row r="75" spans="1:8" ht="15.75">
      <c r="A75" s="15">
        <f t="shared" si="10"/>
        <v>75</v>
      </c>
      <c r="B75" s="40" t="s">
        <v>36</v>
      </c>
      <c r="C75" s="14" t="s">
        <v>119</v>
      </c>
      <c r="D75" s="34"/>
      <c r="E75" s="35">
        <v>20</v>
      </c>
      <c r="F75" s="35">
        <f>1513+82</f>
        <v>1595</v>
      </c>
      <c r="G75" s="35">
        <f>1521+79</f>
        <v>1600</v>
      </c>
      <c r="H75" s="65">
        <f t="shared" si="9"/>
        <v>-5</v>
      </c>
    </row>
    <row r="76" spans="1:8" ht="15.75">
      <c r="A76">
        <f t="shared" si="10"/>
        <v>76</v>
      </c>
      <c r="B76" s="40" t="s">
        <v>48</v>
      </c>
      <c r="C76" s="14" t="s">
        <v>136</v>
      </c>
      <c r="D76" s="34"/>
      <c r="E76" s="35">
        <v>20</v>
      </c>
      <c r="F76" s="35">
        <f>1493+80</f>
        <v>1573</v>
      </c>
      <c r="G76" s="35">
        <f>1503+77</f>
        <v>1580</v>
      </c>
      <c r="H76" s="65">
        <f t="shared" si="9"/>
        <v>-7</v>
      </c>
    </row>
    <row r="77" spans="1:8" ht="15.75">
      <c r="A77">
        <f t="shared" si="10"/>
        <v>77</v>
      </c>
      <c r="B77" s="40" t="s">
        <v>26</v>
      </c>
      <c r="C77" s="14" t="s">
        <v>21</v>
      </c>
      <c r="D77" s="34"/>
      <c r="E77" s="35">
        <v>20</v>
      </c>
      <c r="F77" s="35">
        <f>1485+65</f>
        <v>1550</v>
      </c>
      <c r="G77" s="35">
        <f>1492+68</f>
        <v>1560</v>
      </c>
      <c r="H77" s="65">
        <f t="shared" si="9"/>
        <v>-10</v>
      </c>
    </row>
    <row r="78" spans="1:8" ht="15.75">
      <c r="A78">
        <f t="shared" si="10"/>
        <v>78</v>
      </c>
      <c r="B78" s="40" t="s">
        <v>47</v>
      </c>
      <c r="C78" s="52" t="s">
        <v>105</v>
      </c>
      <c r="D78" s="34"/>
      <c r="E78" s="35">
        <v>20</v>
      </c>
      <c r="F78" s="35">
        <f>1481+64</f>
        <v>1545</v>
      </c>
      <c r="G78" s="35">
        <f>1489+66</f>
        <v>1555</v>
      </c>
      <c r="H78" s="65">
        <f>F78-G78</f>
        <v>-10</v>
      </c>
    </row>
    <row r="79" spans="1:8" ht="15.75">
      <c r="A79">
        <f t="shared" si="10"/>
        <v>79</v>
      </c>
      <c r="B79" s="40" t="s">
        <v>19</v>
      </c>
      <c r="C79" s="14" t="s">
        <v>132</v>
      </c>
      <c r="D79" s="34"/>
      <c r="E79" s="35">
        <v>20</v>
      </c>
      <c r="F79" s="35">
        <f>1370+80</f>
        <v>1450</v>
      </c>
      <c r="G79" s="35">
        <f>1411+51</f>
        <v>1462</v>
      </c>
      <c r="H79" s="65">
        <f aca="true" t="shared" si="11" ref="H79:H90">F79-G79</f>
        <v>-12</v>
      </c>
    </row>
    <row r="80" spans="1:8" ht="15.75">
      <c r="A80">
        <f t="shared" si="10"/>
        <v>80</v>
      </c>
      <c r="B80" s="40" t="s">
        <v>36</v>
      </c>
      <c r="C80" s="14" t="s">
        <v>37</v>
      </c>
      <c r="D80" s="34"/>
      <c r="E80" s="35">
        <v>20</v>
      </c>
      <c r="F80" s="35">
        <f>1498+45</f>
        <v>1543</v>
      </c>
      <c r="G80" s="35">
        <f>1498+62</f>
        <v>1560</v>
      </c>
      <c r="H80" s="65">
        <f t="shared" si="11"/>
        <v>-17</v>
      </c>
    </row>
    <row r="81" spans="1:8" ht="15.75">
      <c r="A81">
        <f t="shared" si="10"/>
        <v>81</v>
      </c>
      <c r="B81" s="40" t="s">
        <v>36</v>
      </c>
      <c r="C81" s="14" t="s">
        <v>149</v>
      </c>
      <c r="D81" s="34"/>
      <c r="E81" s="35">
        <v>19</v>
      </c>
      <c r="F81" s="35">
        <f>1407+79</f>
        <v>1486</v>
      </c>
      <c r="G81" s="35">
        <f>1421+82</f>
        <v>1503</v>
      </c>
      <c r="H81" s="65">
        <f t="shared" si="11"/>
        <v>-17</v>
      </c>
    </row>
    <row r="82" spans="1:8" ht="15.75">
      <c r="A82">
        <f aca="true" t="shared" si="12" ref="A82:A114">A81+1</f>
        <v>82</v>
      </c>
      <c r="B82" s="40" t="s">
        <v>9</v>
      </c>
      <c r="C82" s="14" t="s">
        <v>17</v>
      </c>
      <c r="D82" s="34"/>
      <c r="E82" s="35">
        <v>20</v>
      </c>
      <c r="F82" s="35">
        <f>1594+83</f>
        <v>1677</v>
      </c>
      <c r="G82" s="35">
        <f>1648+53</f>
        <v>1701</v>
      </c>
      <c r="H82" s="65">
        <f t="shared" si="11"/>
        <v>-24</v>
      </c>
    </row>
    <row r="83" spans="1:8" ht="15.75">
      <c r="A83">
        <f t="shared" si="12"/>
        <v>83</v>
      </c>
      <c r="B83" s="40" t="s">
        <v>30</v>
      </c>
      <c r="C83" s="14" t="s">
        <v>70</v>
      </c>
      <c r="D83" s="34"/>
      <c r="E83" s="35">
        <v>20</v>
      </c>
      <c r="F83" s="35">
        <v>1587</v>
      </c>
      <c r="G83" s="35">
        <f>1537+78</f>
        <v>1615</v>
      </c>
      <c r="H83" s="65">
        <f t="shared" si="11"/>
        <v>-28</v>
      </c>
    </row>
    <row r="84" spans="1:8" ht="15.75">
      <c r="A84">
        <f t="shared" si="12"/>
        <v>84</v>
      </c>
      <c r="B84" s="40" t="s">
        <v>38</v>
      </c>
      <c r="C84" s="53" t="s">
        <v>115</v>
      </c>
      <c r="D84" s="34"/>
      <c r="E84" s="35">
        <v>20</v>
      </c>
      <c r="F84" s="35">
        <f>1448+55</f>
        <v>1503</v>
      </c>
      <c r="G84" s="35">
        <f>1466+71</f>
        <v>1537</v>
      </c>
      <c r="H84" s="65">
        <f t="shared" si="11"/>
        <v>-34</v>
      </c>
    </row>
    <row r="85" spans="1:8" ht="15.75">
      <c r="A85">
        <f t="shared" si="12"/>
        <v>85</v>
      </c>
      <c r="B85" s="40" t="s">
        <v>36</v>
      </c>
      <c r="C85" s="12" t="s">
        <v>118</v>
      </c>
      <c r="D85" s="34"/>
      <c r="E85" s="35">
        <v>20</v>
      </c>
      <c r="F85" s="35">
        <f>1395+82</f>
        <v>1477</v>
      </c>
      <c r="G85" s="35">
        <f>1433+79</f>
        <v>1512</v>
      </c>
      <c r="H85" s="65">
        <f t="shared" si="11"/>
        <v>-35</v>
      </c>
    </row>
    <row r="86" spans="1:8" ht="15.75">
      <c r="A86">
        <f t="shared" si="12"/>
        <v>86</v>
      </c>
      <c r="B86" s="40" t="s">
        <v>19</v>
      </c>
      <c r="C86" s="52" t="s">
        <v>131</v>
      </c>
      <c r="D86" s="34"/>
      <c r="E86" s="35">
        <v>20</v>
      </c>
      <c r="F86" s="35">
        <f>1334+77</f>
        <v>1411</v>
      </c>
      <c r="G86" s="35">
        <f>1379+73</f>
        <v>1452</v>
      </c>
      <c r="H86" s="65">
        <f t="shared" si="11"/>
        <v>-41</v>
      </c>
    </row>
    <row r="87" spans="1:8" ht="15.75">
      <c r="A87">
        <f t="shared" si="12"/>
        <v>87</v>
      </c>
      <c r="B87" s="40" t="s">
        <v>9</v>
      </c>
      <c r="C87" s="12" t="s">
        <v>129</v>
      </c>
      <c r="D87" s="34"/>
      <c r="E87" s="35">
        <v>20</v>
      </c>
      <c r="F87" s="35">
        <f>1458+80</f>
        <v>1538</v>
      </c>
      <c r="G87" s="35">
        <f>1470+110</f>
        <v>1580</v>
      </c>
      <c r="H87" s="65">
        <f t="shared" si="11"/>
        <v>-42</v>
      </c>
    </row>
    <row r="88" spans="1:8" ht="15.75">
      <c r="A88">
        <f t="shared" si="12"/>
        <v>88</v>
      </c>
      <c r="B88" s="40" t="s">
        <v>38</v>
      </c>
      <c r="C88" s="14" t="s">
        <v>113</v>
      </c>
      <c r="D88" s="34"/>
      <c r="E88" s="35">
        <v>20</v>
      </c>
      <c r="F88" s="35">
        <f>1393+72</f>
        <v>1465</v>
      </c>
      <c r="G88" s="35">
        <f>1443+67</f>
        <v>1510</v>
      </c>
      <c r="H88" s="65">
        <f t="shared" si="11"/>
        <v>-45</v>
      </c>
    </row>
    <row r="89" spans="1:8" ht="15.75">
      <c r="A89">
        <f t="shared" si="12"/>
        <v>89</v>
      </c>
      <c r="B89" s="40" t="s">
        <v>30</v>
      </c>
      <c r="C89" s="12" t="s">
        <v>160</v>
      </c>
      <c r="D89" s="34"/>
      <c r="E89" s="35">
        <v>20</v>
      </c>
      <c r="F89" s="35">
        <f>1483+72</f>
        <v>1555</v>
      </c>
      <c r="G89" s="35">
        <f>1516+93</f>
        <v>1609</v>
      </c>
      <c r="H89" s="65">
        <f t="shared" si="11"/>
        <v>-54</v>
      </c>
    </row>
    <row r="90" spans="1:8" ht="15.75">
      <c r="A90">
        <f t="shared" si="12"/>
        <v>90</v>
      </c>
      <c r="B90" s="40" t="s">
        <v>30</v>
      </c>
      <c r="C90" s="14" t="s">
        <v>29</v>
      </c>
      <c r="D90" s="34"/>
      <c r="E90" s="35">
        <v>20</v>
      </c>
      <c r="F90" s="35">
        <f>1308+61</f>
        <v>1369</v>
      </c>
      <c r="G90" s="35">
        <f>1347+79</f>
        <v>1426</v>
      </c>
      <c r="H90" s="65">
        <f t="shared" si="11"/>
        <v>-57</v>
      </c>
    </row>
    <row r="91" spans="1:8" ht="15.75">
      <c r="A91">
        <f t="shared" si="12"/>
        <v>91</v>
      </c>
      <c r="B91" s="40" t="s">
        <v>48</v>
      </c>
      <c r="C91" s="12" t="s">
        <v>50</v>
      </c>
      <c r="D91" s="34"/>
      <c r="E91" s="35">
        <v>20</v>
      </c>
      <c r="F91" s="35">
        <f>1419+70</f>
        <v>1489</v>
      </c>
      <c r="G91" s="35">
        <f>1469+78</f>
        <v>1547</v>
      </c>
      <c r="H91" s="65">
        <f>F91-G91</f>
        <v>-58</v>
      </c>
    </row>
    <row r="92" spans="1:8" ht="15.75">
      <c r="A92">
        <f t="shared" si="12"/>
        <v>92</v>
      </c>
      <c r="B92" s="40" t="s">
        <v>38</v>
      </c>
      <c r="C92" s="14" t="s">
        <v>63</v>
      </c>
      <c r="D92" s="34"/>
      <c r="E92" s="35">
        <v>20</v>
      </c>
      <c r="F92" s="35">
        <f>1485+102</f>
        <v>1587</v>
      </c>
      <c r="G92" s="35">
        <f>1569+81</f>
        <v>1650</v>
      </c>
      <c r="H92" s="65">
        <f aca="true" t="shared" si="13" ref="H92:H103">F92-G92</f>
        <v>-63</v>
      </c>
    </row>
    <row r="93" spans="1:8" ht="15.75">
      <c r="A93" s="15">
        <f t="shared" si="12"/>
        <v>93</v>
      </c>
      <c r="B93" s="40" t="s">
        <v>36</v>
      </c>
      <c r="C93" s="52" t="s">
        <v>151</v>
      </c>
      <c r="D93" s="34"/>
      <c r="E93" s="35">
        <v>20</v>
      </c>
      <c r="F93" s="35">
        <f>1473+71</f>
        <v>1544</v>
      </c>
      <c r="G93" s="35">
        <f>1534+76</f>
        <v>1610</v>
      </c>
      <c r="H93" s="65">
        <f t="shared" si="13"/>
        <v>-66</v>
      </c>
    </row>
    <row r="94" spans="1:8" ht="15.75">
      <c r="A94">
        <f t="shared" si="12"/>
        <v>94</v>
      </c>
      <c r="B94" s="40" t="s">
        <v>47</v>
      </c>
      <c r="C94" s="14" t="s">
        <v>45</v>
      </c>
      <c r="D94" s="34"/>
      <c r="E94" s="35">
        <v>20</v>
      </c>
      <c r="F94" s="35">
        <f>1494+72</f>
        <v>1566</v>
      </c>
      <c r="G94" s="35">
        <f>1559+74</f>
        <v>1633</v>
      </c>
      <c r="H94" s="65">
        <f t="shared" si="13"/>
        <v>-67</v>
      </c>
    </row>
    <row r="95" spans="1:8" ht="15.75">
      <c r="A95">
        <f t="shared" si="12"/>
        <v>95</v>
      </c>
      <c r="B95" s="40" t="s">
        <v>38</v>
      </c>
      <c r="C95" s="52" t="s">
        <v>114</v>
      </c>
      <c r="D95" s="34"/>
      <c r="E95" s="35">
        <v>20</v>
      </c>
      <c r="F95" s="35">
        <f>1391+74</f>
        <v>1465</v>
      </c>
      <c r="G95" s="35">
        <f>1446+91</f>
        <v>1537</v>
      </c>
      <c r="H95" s="65">
        <f t="shared" si="13"/>
        <v>-72</v>
      </c>
    </row>
    <row r="96" spans="1:8" ht="16.5">
      <c r="A96">
        <f t="shared" si="12"/>
        <v>96</v>
      </c>
      <c r="B96" s="40" t="s">
        <v>15</v>
      </c>
      <c r="C96" s="24" t="s">
        <v>18</v>
      </c>
      <c r="D96" s="45"/>
      <c r="E96" s="46">
        <v>20</v>
      </c>
      <c r="F96" s="46">
        <f>1371+74</f>
        <v>1445</v>
      </c>
      <c r="G96" s="46">
        <f>1441+77</f>
        <v>1518</v>
      </c>
      <c r="H96" s="65">
        <f t="shared" si="13"/>
        <v>-73</v>
      </c>
    </row>
    <row r="97" spans="1:8" ht="15.75">
      <c r="A97">
        <f t="shared" si="12"/>
        <v>97</v>
      </c>
      <c r="B97" s="40" t="s">
        <v>9</v>
      </c>
      <c r="C97" s="53" t="s">
        <v>96</v>
      </c>
      <c r="D97" s="34"/>
      <c r="E97" s="35">
        <v>20</v>
      </c>
      <c r="F97" s="35">
        <f>1561+82</f>
        <v>1643</v>
      </c>
      <c r="G97" s="35">
        <f>1627+91</f>
        <v>1718</v>
      </c>
      <c r="H97" s="65">
        <f t="shared" si="13"/>
        <v>-75</v>
      </c>
    </row>
    <row r="98" spans="1:8" ht="15.75">
      <c r="A98">
        <f t="shared" si="12"/>
        <v>98</v>
      </c>
      <c r="B98" s="40" t="s">
        <v>22</v>
      </c>
      <c r="C98" s="52" t="s">
        <v>80</v>
      </c>
      <c r="D98" s="34"/>
      <c r="E98" s="35">
        <v>20</v>
      </c>
      <c r="F98" s="35">
        <f>1418+78</f>
        <v>1496</v>
      </c>
      <c r="G98" s="35">
        <f>1512+62</f>
        <v>1574</v>
      </c>
      <c r="H98" s="65">
        <f t="shared" si="13"/>
        <v>-78</v>
      </c>
    </row>
    <row r="99" spans="1:8" ht="15.75">
      <c r="A99">
        <f t="shared" si="12"/>
        <v>99</v>
      </c>
      <c r="B99" s="40" t="s">
        <v>19</v>
      </c>
      <c r="C99" s="52" t="s">
        <v>88</v>
      </c>
      <c r="D99" s="34"/>
      <c r="E99" s="35">
        <v>20</v>
      </c>
      <c r="F99" s="35">
        <v>1559</v>
      </c>
      <c r="G99" s="35">
        <v>1640</v>
      </c>
      <c r="H99" s="65">
        <f t="shared" si="13"/>
        <v>-81</v>
      </c>
    </row>
    <row r="100" spans="1:8" ht="15.75">
      <c r="A100">
        <f t="shared" si="12"/>
        <v>100</v>
      </c>
      <c r="B100" s="40" t="s">
        <v>15</v>
      </c>
      <c r="C100" s="22" t="s">
        <v>92</v>
      </c>
      <c r="D100" s="45"/>
      <c r="E100" s="46">
        <v>20</v>
      </c>
      <c r="F100" s="46">
        <f>1453+68</f>
        <v>1521</v>
      </c>
      <c r="G100" s="46">
        <f>1537+70</f>
        <v>1607</v>
      </c>
      <c r="H100" s="65">
        <f t="shared" si="13"/>
        <v>-86</v>
      </c>
    </row>
    <row r="101" spans="1:8" ht="15.75">
      <c r="A101">
        <f t="shared" si="12"/>
        <v>101</v>
      </c>
      <c r="B101" s="40" t="s">
        <v>22</v>
      </c>
      <c r="C101" s="52" t="s">
        <v>82</v>
      </c>
      <c r="D101" s="34"/>
      <c r="E101" s="35">
        <v>20</v>
      </c>
      <c r="F101" s="35">
        <v>1540</v>
      </c>
      <c r="G101" s="35">
        <v>1628</v>
      </c>
      <c r="H101" s="65">
        <f t="shared" si="13"/>
        <v>-88</v>
      </c>
    </row>
    <row r="102" spans="1:8" ht="15.75">
      <c r="A102">
        <f t="shared" si="12"/>
        <v>102</v>
      </c>
      <c r="B102" s="40" t="s">
        <v>15</v>
      </c>
      <c r="C102" s="22" t="s">
        <v>130</v>
      </c>
      <c r="D102" s="45"/>
      <c r="E102" s="46">
        <v>20</v>
      </c>
      <c r="F102" s="46">
        <f>1590+78</f>
        <v>1668</v>
      </c>
      <c r="G102" s="46">
        <f>1665+91</f>
        <v>1756</v>
      </c>
      <c r="H102" s="65">
        <f t="shared" si="13"/>
        <v>-88</v>
      </c>
    </row>
    <row r="103" spans="1:8" ht="16.5">
      <c r="A103">
        <f t="shared" si="12"/>
        <v>103</v>
      </c>
      <c r="B103" s="40" t="s">
        <v>47</v>
      </c>
      <c r="C103" s="17" t="s">
        <v>126</v>
      </c>
      <c r="D103" s="34"/>
      <c r="E103" s="35">
        <v>20</v>
      </c>
      <c r="F103" s="35">
        <f>1468+80</f>
        <v>1548</v>
      </c>
      <c r="G103" s="35">
        <f>1545+95</f>
        <v>1640</v>
      </c>
      <c r="H103" s="65">
        <f t="shared" si="13"/>
        <v>-92</v>
      </c>
    </row>
    <row r="104" spans="1:8" ht="16.5">
      <c r="A104">
        <f t="shared" si="12"/>
        <v>104</v>
      </c>
      <c r="B104" s="40" t="s">
        <v>36</v>
      </c>
      <c r="C104" s="17" t="s">
        <v>120</v>
      </c>
      <c r="D104" s="34"/>
      <c r="E104" s="35">
        <v>20</v>
      </c>
      <c r="F104" s="35">
        <f>1467+91</f>
        <v>1558</v>
      </c>
      <c r="G104" s="35">
        <f>1542+116</f>
        <v>1658</v>
      </c>
      <c r="H104" s="65">
        <f aca="true" t="shared" si="14" ref="H104:H116">F104-G104</f>
        <v>-100</v>
      </c>
    </row>
    <row r="105" spans="1:8" ht="16.5">
      <c r="A105">
        <f t="shared" si="12"/>
        <v>105</v>
      </c>
      <c r="B105" s="40" t="s">
        <v>15</v>
      </c>
      <c r="C105" s="24" t="s">
        <v>68</v>
      </c>
      <c r="D105" s="45"/>
      <c r="E105" s="46">
        <v>20</v>
      </c>
      <c r="F105" s="46">
        <f>1435+77</f>
        <v>1512</v>
      </c>
      <c r="G105" s="46">
        <f>1539+74</f>
        <v>1613</v>
      </c>
      <c r="H105" s="65">
        <f t="shared" si="14"/>
        <v>-101</v>
      </c>
    </row>
    <row r="106" spans="1:8" ht="16.5">
      <c r="A106">
        <f t="shared" si="12"/>
        <v>106</v>
      </c>
      <c r="B106" s="40" t="s">
        <v>34</v>
      </c>
      <c r="C106" s="58" t="s">
        <v>123</v>
      </c>
      <c r="D106" s="34"/>
      <c r="E106" s="35">
        <v>20</v>
      </c>
      <c r="F106" s="35">
        <f>1395+82</f>
        <v>1477</v>
      </c>
      <c r="G106" s="35">
        <f>1488+90</f>
        <v>1578</v>
      </c>
      <c r="H106" s="65">
        <f t="shared" si="14"/>
        <v>-101</v>
      </c>
    </row>
    <row r="107" spans="1:8" ht="15.75">
      <c r="A107">
        <f t="shared" si="12"/>
        <v>107</v>
      </c>
      <c r="B107" s="40" t="s">
        <v>34</v>
      </c>
      <c r="C107" s="52" t="s">
        <v>157</v>
      </c>
      <c r="D107" s="34"/>
      <c r="E107" s="35">
        <v>20</v>
      </c>
      <c r="F107" s="35">
        <f>1357+92</f>
        <v>1449</v>
      </c>
      <c r="G107" s="35">
        <f>1486+65</f>
        <v>1551</v>
      </c>
      <c r="H107" s="65">
        <f t="shared" si="14"/>
        <v>-102</v>
      </c>
    </row>
    <row r="108" spans="1:8" ht="16.5">
      <c r="A108">
        <f t="shared" si="12"/>
        <v>108</v>
      </c>
      <c r="B108" s="40" t="s">
        <v>22</v>
      </c>
      <c r="C108" s="17" t="s">
        <v>79</v>
      </c>
      <c r="D108" s="34"/>
      <c r="E108" s="35">
        <v>20</v>
      </c>
      <c r="F108" s="35">
        <f>1544+83</f>
        <v>1627</v>
      </c>
      <c r="G108" s="35">
        <f>1662+74</f>
        <v>1736</v>
      </c>
      <c r="H108" s="65">
        <f t="shared" si="14"/>
        <v>-109</v>
      </c>
    </row>
    <row r="109" spans="1:8" ht="16.5">
      <c r="A109">
        <f t="shared" si="12"/>
        <v>109</v>
      </c>
      <c r="B109" s="40" t="s">
        <v>22</v>
      </c>
      <c r="C109" s="17" t="s">
        <v>81</v>
      </c>
      <c r="D109" s="34"/>
      <c r="E109" s="35">
        <v>20</v>
      </c>
      <c r="F109" s="35">
        <f>1348+88</f>
        <v>1436</v>
      </c>
      <c r="G109" s="35">
        <f>1461+87</f>
        <v>1548</v>
      </c>
      <c r="H109" s="65">
        <f t="shared" si="14"/>
        <v>-112</v>
      </c>
    </row>
    <row r="110" spans="1:8" ht="15.75">
      <c r="A110">
        <f t="shared" si="12"/>
        <v>110</v>
      </c>
      <c r="B110" s="40" t="s">
        <v>15</v>
      </c>
      <c r="C110" s="55" t="s">
        <v>93</v>
      </c>
      <c r="D110" s="45"/>
      <c r="E110" s="46">
        <v>20</v>
      </c>
      <c r="F110" s="46">
        <f>1453+56</f>
        <v>1509</v>
      </c>
      <c r="G110" s="46">
        <f>1553+69</f>
        <v>1622</v>
      </c>
      <c r="H110" s="65">
        <f t="shared" si="14"/>
        <v>-113</v>
      </c>
    </row>
    <row r="111" spans="1:8" ht="16.5">
      <c r="A111">
        <f t="shared" si="12"/>
        <v>111</v>
      </c>
      <c r="B111" s="40" t="s">
        <v>36</v>
      </c>
      <c r="C111" s="17" t="s">
        <v>152</v>
      </c>
      <c r="D111" s="34"/>
      <c r="E111" s="35">
        <v>20</v>
      </c>
      <c r="F111" s="35">
        <f>1417+79</f>
        <v>1496</v>
      </c>
      <c r="G111" s="35">
        <f>1529+82</f>
        <v>1611</v>
      </c>
      <c r="H111" s="65">
        <f t="shared" si="14"/>
        <v>-115</v>
      </c>
    </row>
    <row r="112" spans="1:8" ht="16.5">
      <c r="A112">
        <f t="shared" si="12"/>
        <v>112</v>
      </c>
      <c r="B112" s="40" t="s">
        <v>42</v>
      </c>
      <c r="C112" s="17" t="s">
        <v>110</v>
      </c>
      <c r="D112" s="34"/>
      <c r="E112" s="35">
        <v>20</v>
      </c>
      <c r="F112" s="35">
        <f>1335+92</f>
        <v>1427</v>
      </c>
      <c r="G112" s="35">
        <f>1447+97</f>
        <v>1544</v>
      </c>
      <c r="H112" s="65">
        <f t="shared" si="14"/>
        <v>-117</v>
      </c>
    </row>
    <row r="113" spans="1:8" ht="15.75">
      <c r="A113">
        <f t="shared" si="12"/>
        <v>113</v>
      </c>
      <c r="B113" s="40" t="s">
        <v>30</v>
      </c>
      <c r="C113" s="14" t="s">
        <v>69</v>
      </c>
      <c r="D113" s="34"/>
      <c r="E113" s="35">
        <v>20</v>
      </c>
      <c r="F113" s="35">
        <f>1390+66</f>
        <v>1456</v>
      </c>
      <c r="G113" s="35">
        <f>1483+94</f>
        <v>1577</v>
      </c>
      <c r="H113" s="65">
        <f>F113-G113</f>
        <v>-121</v>
      </c>
    </row>
    <row r="114" spans="1:8" ht="16.5">
      <c r="A114">
        <f t="shared" si="12"/>
        <v>114</v>
      </c>
      <c r="B114" s="40" t="s">
        <v>9</v>
      </c>
      <c r="C114" s="17" t="s">
        <v>12</v>
      </c>
      <c r="D114" s="34"/>
      <c r="E114" s="35">
        <v>20</v>
      </c>
      <c r="F114" s="35">
        <f>1433+75</f>
        <v>1508</v>
      </c>
      <c r="G114" s="35">
        <f>1559+78</f>
        <v>1637</v>
      </c>
      <c r="H114" s="65">
        <f t="shared" si="14"/>
        <v>-129</v>
      </c>
    </row>
    <row r="115" spans="1:8" ht="16.5">
      <c r="A115">
        <f aca="true" t="shared" si="15" ref="A115:A130">A114+1</f>
        <v>115</v>
      </c>
      <c r="B115" s="40" t="s">
        <v>38</v>
      </c>
      <c r="C115" s="17" t="s">
        <v>35</v>
      </c>
      <c r="D115" s="34"/>
      <c r="E115" s="35">
        <v>20</v>
      </c>
      <c r="F115" s="35">
        <f>1482+64</f>
        <v>1546</v>
      </c>
      <c r="G115" s="35">
        <f>1598+80</f>
        <v>1678</v>
      </c>
      <c r="H115" s="65">
        <f t="shared" si="14"/>
        <v>-132</v>
      </c>
    </row>
    <row r="116" spans="1:8" ht="15.75">
      <c r="A116">
        <f t="shared" si="15"/>
        <v>116</v>
      </c>
      <c r="B116" s="40" t="s">
        <v>42</v>
      </c>
      <c r="C116" s="52" t="s">
        <v>112</v>
      </c>
      <c r="D116" s="34"/>
      <c r="E116" s="35">
        <v>20</v>
      </c>
      <c r="F116" s="35">
        <f>1392+97</f>
        <v>1489</v>
      </c>
      <c r="G116" s="35">
        <f>1531+92</f>
        <v>1623</v>
      </c>
      <c r="H116" s="65">
        <f t="shared" si="14"/>
        <v>-134</v>
      </c>
    </row>
    <row r="117" spans="1:8" ht="16.5">
      <c r="A117">
        <f t="shared" si="15"/>
        <v>117</v>
      </c>
      <c r="B117" s="40" t="s">
        <v>48</v>
      </c>
      <c r="C117" s="17" t="s">
        <v>137</v>
      </c>
      <c r="D117" s="34"/>
      <c r="E117" s="35">
        <v>20</v>
      </c>
      <c r="F117" s="35">
        <f>1381+59</f>
        <v>1440</v>
      </c>
      <c r="G117" s="35">
        <f>1495+91</f>
        <v>1586</v>
      </c>
      <c r="H117" s="65">
        <f>F117-G117</f>
        <v>-146</v>
      </c>
    </row>
    <row r="118" spans="1:8" ht="16.5">
      <c r="A118">
        <f t="shared" si="15"/>
        <v>118</v>
      </c>
      <c r="B118" s="40" t="s">
        <v>26</v>
      </c>
      <c r="C118" s="17" t="s">
        <v>74</v>
      </c>
      <c r="D118" s="34"/>
      <c r="E118" s="35">
        <v>20</v>
      </c>
      <c r="F118" s="35">
        <f>1387+65</f>
        <v>1452</v>
      </c>
      <c r="G118" s="35">
        <v>1599</v>
      </c>
      <c r="H118" s="65">
        <f aca="true" t="shared" si="16" ref="H118:H129">F118-G118</f>
        <v>-147</v>
      </c>
    </row>
    <row r="119" spans="1:8" ht="16.5">
      <c r="A119">
        <f t="shared" si="15"/>
        <v>119</v>
      </c>
      <c r="B119" s="40" t="s">
        <v>42</v>
      </c>
      <c r="C119" s="58" t="s">
        <v>111</v>
      </c>
      <c r="D119" s="34"/>
      <c r="E119" s="35">
        <v>20</v>
      </c>
      <c r="F119" s="35">
        <f>1310+51</f>
        <v>1361</v>
      </c>
      <c r="G119" s="35">
        <f>1440+69</f>
        <v>1509</v>
      </c>
      <c r="H119" s="65">
        <f t="shared" si="16"/>
        <v>-148</v>
      </c>
    </row>
    <row r="120" spans="1:8" ht="16.5">
      <c r="A120">
        <f t="shared" si="15"/>
        <v>120</v>
      </c>
      <c r="B120" s="40" t="s">
        <v>38</v>
      </c>
      <c r="C120" s="17" t="s">
        <v>147</v>
      </c>
      <c r="D120" s="34"/>
      <c r="E120" s="35">
        <v>20</v>
      </c>
      <c r="F120" s="35">
        <f>1350+93</f>
        <v>1443</v>
      </c>
      <c r="G120" s="35">
        <v>1608</v>
      </c>
      <c r="H120" s="65">
        <f t="shared" si="16"/>
        <v>-165</v>
      </c>
    </row>
    <row r="121" spans="1:8" ht="16.5">
      <c r="A121">
        <f t="shared" si="15"/>
        <v>121</v>
      </c>
      <c r="B121" s="40" t="s">
        <v>26</v>
      </c>
      <c r="C121" s="17" t="s">
        <v>24</v>
      </c>
      <c r="D121" s="34"/>
      <c r="E121" s="35">
        <v>20</v>
      </c>
      <c r="F121" s="35">
        <f>1269+68</f>
        <v>1337</v>
      </c>
      <c r="G121" s="35">
        <f>1448+65</f>
        <v>1513</v>
      </c>
      <c r="H121" s="65">
        <f t="shared" si="16"/>
        <v>-176</v>
      </c>
    </row>
    <row r="122" spans="1:8" ht="16.5">
      <c r="A122">
        <f t="shared" si="15"/>
        <v>122</v>
      </c>
      <c r="B122" s="40" t="s">
        <v>19</v>
      </c>
      <c r="C122" s="17" t="s">
        <v>23</v>
      </c>
      <c r="D122" s="34"/>
      <c r="E122" s="35">
        <v>20</v>
      </c>
      <c r="F122" s="35">
        <f>1391+83</f>
        <v>1474</v>
      </c>
      <c r="G122" s="35">
        <f>1573+88</f>
        <v>1661</v>
      </c>
      <c r="H122" s="65">
        <f t="shared" si="16"/>
        <v>-187</v>
      </c>
    </row>
    <row r="123" spans="1:8" ht="15.75">
      <c r="A123">
        <f t="shared" si="15"/>
        <v>123</v>
      </c>
      <c r="B123" s="40" t="s">
        <v>34</v>
      </c>
      <c r="C123" s="12" t="s">
        <v>156</v>
      </c>
      <c r="D123" s="34"/>
      <c r="E123" s="35">
        <v>20</v>
      </c>
      <c r="F123" s="35">
        <f>1472+76</f>
        <v>1548</v>
      </c>
      <c r="G123" s="35">
        <f>1644+94</f>
        <v>1738</v>
      </c>
      <c r="H123" s="65">
        <f t="shared" si="16"/>
        <v>-190</v>
      </c>
    </row>
    <row r="124" spans="1:8" ht="16.5">
      <c r="A124">
        <f t="shared" si="15"/>
        <v>124</v>
      </c>
      <c r="B124" s="40" t="s">
        <v>30</v>
      </c>
      <c r="C124" s="58" t="s">
        <v>71</v>
      </c>
      <c r="D124" s="34"/>
      <c r="E124" s="35">
        <v>20</v>
      </c>
      <c r="F124" s="35">
        <f>1403+62</f>
        <v>1465</v>
      </c>
      <c r="G124" s="35">
        <f>1590+67</f>
        <v>1657</v>
      </c>
      <c r="H124" s="65">
        <f t="shared" si="16"/>
        <v>-192</v>
      </c>
    </row>
    <row r="125" spans="1:8" ht="16.5">
      <c r="A125">
        <f t="shared" si="15"/>
        <v>125</v>
      </c>
      <c r="B125" s="40" t="s">
        <v>30</v>
      </c>
      <c r="C125" s="58" t="s">
        <v>72</v>
      </c>
      <c r="D125" s="34"/>
      <c r="E125" s="35">
        <v>20</v>
      </c>
      <c r="F125" s="35">
        <f>1387+71</f>
        <v>1458</v>
      </c>
      <c r="G125" s="35">
        <f>1557+101</f>
        <v>1658</v>
      </c>
      <c r="H125" s="65">
        <f t="shared" si="16"/>
        <v>-200</v>
      </c>
    </row>
    <row r="126" spans="1:8" ht="16.5">
      <c r="A126">
        <f t="shared" si="15"/>
        <v>126</v>
      </c>
      <c r="B126" s="40" t="s">
        <v>34</v>
      </c>
      <c r="C126" s="17" t="s">
        <v>39</v>
      </c>
      <c r="D126" s="34"/>
      <c r="E126" s="35">
        <v>20</v>
      </c>
      <c r="F126" s="35">
        <f>1307+76</f>
        <v>1383</v>
      </c>
      <c r="G126" s="35">
        <f>1504+83</f>
        <v>1587</v>
      </c>
      <c r="H126" s="65">
        <f t="shared" si="16"/>
        <v>-204</v>
      </c>
    </row>
    <row r="127" spans="1:8" ht="15.75">
      <c r="A127">
        <f t="shared" si="15"/>
        <v>127</v>
      </c>
      <c r="B127" s="40" t="s">
        <v>26</v>
      </c>
      <c r="C127" s="14" t="s">
        <v>33</v>
      </c>
      <c r="D127" s="34"/>
      <c r="E127" s="35">
        <v>20</v>
      </c>
      <c r="F127" s="35">
        <f>1410+70</f>
        <v>1480</v>
      </c>
      <c r="G127" s="35">
        <f>1612+75</f>
        <v>1687</v>
      </c>
      <c r="H127" s="65">
        <f t="shared" si="16"/>
        <v>-207</v>
      </c>
    </row>
    <row r="128" spans="1:8" ht="15.75">
      <c r="A128">
        <f t="shared" si="15"/>
        <v>128</v>
      </c>
      <c r="B128" s="40" t="s">
        <v>42</v>
      </c>
      <c r="C128" s="14" t="s">
        <v>141</v>
      </c>
      <c r="D128" s="34"/>
      <c r="E128" s="35">
        <v>20</v>
      </c>
      <c r="F128" s="35">
        <f>1312+69</f>
        <v>1381</v>
      </c>
      <c r="G128" s="35">
        <f>1553+51</f>
        <v>1604</v>
      </c>
      <c r="H128" s="65">
        <f t="shared" si="16"/>
        <v>-223</v>
      </c>
    </row>
    <row r="129" spans="1:8" ht="16.5">
      <c r="A129">
        <f t="shared" si="15"/>
        <v>129</v>
      </c>
      <c r="B129" s="40" t="s">
        <v>36</v>
      </c>
      <c r="C129" s="59" t="s">
        <v>121</v>
      </c>
      <c r="D129" s="34"/>
      <c r="E129" s="35">
        <v>20</v>
      </c>
      <c r="F129" s="35">
        <f>1526+91</f>
        <v>1617</v>
      </c>
      <c r="G129" s="35">
        <f>1750+101</f>
        <v>1851</v>
      </c>
      <c r="H129" s="65">
        <f t="shared" si="16"/>
        <v>-234</v>
      </c>
    </row>
    <row r="130" spans="1:8" ht="16.5">
      <c r="A130">
        <f t="shared" si="15"/>
        <v>130</v>
      </c>
      <c r="B130" s="40" t="s">
        <v>30</v>
      </c>
      <c r="C130" s="59" t="s">
        <v>161</v>
      </c>
      <c r="D130" s="34"/>
      <c r="E130" s="35">
        <v>20</v>
      </c>
      <c r="F130" s="35">
        <f>1378+78</f>
        <v>1456</v>
      </c>
      <c r="G130" s="35">
        <f>1619+80</f>
        <v>1699</v>
      </c>
      <c r="H130" s="65">
        <f>F130-G130</f>
        <v>-243</v>
      </c>
    </row>
    <row r="131" spans="1:8" ht="16.5">
      <c r="A131">
        <f aca="true" t="shared" si="17" ref="A131:A144">A130+1</f>
        <v>131</v>
      </c>
      <c r="B131" s="25" t="s">
        <v>38</v>
      </c>
      <c r="C131" s="59" t="s">
        <v>148</v>
      </c>
      <c r="D131" s="34"/>
      <c r="E131" s="35">
        <v>20</v>
      </c>
      <c r="F131" s="35">
        <f>1329+81</f>
        <v>1410</v>
      </c>
      <c r="G131" s="35">
        <f>1556+102</f>
        <v>1658</v>
      </c>
      <c r="H131" s="65">
        <f aca="true" t="shared" si="18" ref="H131:H142">F131-G131</f>
        <v>-248</v>
      </c>
    </row>
    <row r="132" spans="1:8" ht="16.5">
      <c r="A132">
        <f t="shared" si="17"/>
        <v>132</v>
      </c>
      <c r="B132" s="40" t="s">
        <v>15</v>
      </c>
      <c r="C132" s="61" t="s">
        <v>94</v>
      </c>
      <c r="D132" s="45"/>
      <c r="E132" s="46">
        <v>20</v>
      </c>
      <c r="F132" s="46">
        <f>1288+69</f>
        <v>1357</v>
      </c>
      <c r="G132" s="46">
        <f>1566+56</f>
        <v>1622</v>
      </c>
      <c r="H132" s="65">
        <f>F132-G132</f>
        <v>-265</v>
      </c>
    </row>
    <row r="133" spans="1:8" ht="16.5">
      <c r="A133">
        <f t="shared" si="17"/>
        <v>133</v>
      </c>
      <c r="B133" s="40" t="s">
        <v>48</v>
      </c>
      <c r="C133" s="58" t="s">
        <v>102</v>
      </c>
      <c r="D133" s="34"/>
      <c r="E133" s="35">
        <v>20</v>
      </c>
      <c r="F133" s="35">
        <f>1253+63</f>
        <v>1316</v>
      </c>
      <c r="G133" s="35">
        <f>1495+95</f>
        <v>1590</v>
      </c>
      <c r="H133" s="65">
        <f t="shared" si="18"/>
        <v>-274</v>
      </c>
    </row>
    <row r="134" spans="1:8" ht="16.5">
      <c r="A134">
        <f t="shared" si="17"/>
        <v>134</v>
      </c>
      <c r="B134" s="40" t="s">
        <v>19</v>
      </c>
      <c r="C134" s="17" t="s">
        <v>133</v>
      </c>
      <c r="D134" s="34"/>
      <c r="E134" s="35">
        <v>20</v>
      </c>
      <c r="F134" s="35">
        <f>1225+51</f>
        <v>1276</v>
      </c>
      <c r="G134" s="35">
        <f>1475+80</f>
        <v>1555</v>
      </c>
      <c r="H134" s="65">
        <f t="shared" si="18"/>
        <v>-279</v>
      </c>
    </row>
    <row r="135" spans="1:8" ht="16.5">
      <c r="A135">
        <f t="shared" si="17"/>
        <v>135</v>
      </c>
      <c r="B135" s="40" t="s">
        <v>26</v>
      </c>
      <c r="C135" s="59" t="s">
        <v>75</v>
      </c>
      <c r="D135" s="34"/>
      <c r="E135" s="35">
        <v>20</v>
      </c>
      <c r="F135" s="35">
        <f>1323+65</f>
        <v>1388</v>
      </c>
      <c r="G135" s="35">
        <f>1577+98</f>
        <v>1675</v>
      </c>
      <c r="H135" s="65">
        <f t="shared" si="18"/>
        <v>-287</v>
      </c>
    </row>
    <row r="136" spans="1:8" ht="16.5">
      <c r="A136">
        <f t="shared" si="17"/>
        <v>136</v>
      </c>
      <c r="B136" s="40" t="s">
        <v>47</v>
      </c>
      <c r="C136" s="17" t="s">
        <v>49</v>
      </c>
      <c r="D136" s="34"/>
      <c r="E136" s="35">
        <v>20</v>
      </c>
      <c r="F136" s="35">
        <f>1397+67</f>
        <v>1464</v>
      </c>
      <c r="G136" s="35">
        <f>1679+83</f>
        <v>1762</v>
      </c>
      <c r="H136" s="65">
        <f t="shared" si="18"/>
        <v>-298</v>
      </c>
    </row>
    <row r="137" spans="1:8" ht="16.5">
      <c r="A137">
        <f t="shared" si="17"/>
        <v>137</v>
      </c>
      <c r="B137" s="40" t="s">
        <v>9</v>
      </c>
      <c r="C137" s="58" t="s">
        <v>97</v>
      </c>
      <c r="D137" s="34"/>
      <c r="E137" s="35">
        <v>20</v>
      </c>
      <c r="F137" s="35">
        <f>1375+45</f>
        <v>1420</v>
      </c>
      <c r="G137" s="35">
        <f>1633+88</f>
        <v>1721</v>
      </c>
      <c r="H137" s="65">
        <f t="shared" si="18"/>
        <v>-301</v>
      </c>
    </row>
    <row r="138" spans="1:8" ht="16.5">
      <c r="A138">
        <f t="shared" si="17"/>
        <v>138</v>
      </c>
      <c r="B138" s="40" t="s">
        <v>47</v>
      </c>
      <c r="C138" s="66" t="s">
        <v>108</v>
      </c>
      <c r="D138" s="34"/>
      <c r="E138" s="35">
        <v>20</v>
      </c>
      <c r="F138" s="35">
        <f>1426+76</f>
        <v>1502</v>
      </c>
      <c r="G138" s="35">
        <v>1815</v>
      </c>
      <c r="H138" s="65">
        <f t="shared" si="18"/>
        <v>-313</v>
      </c>
    </row>
    <row r="139" spans="1:8" ht="16.5">
      <c r="A139">
        <f t="shared" si="17"/>
        <v>139</v>
      </c>
      <c r="B139" s="40" t="s">
        <v>19</v>
      </c>
      <c r="C139" s="60" t="s">
        <v>89</v>
      </c>
      <c r="D139" s="34"/>
      <c r="E139" s="35">
        <v>20</v>
      </c>
      <c r="F139" s="35">
        <f>1422+88</f>
        <v>1510</v>
      </c>
      <c r="G139" s="35">
        <f>1749+83</f>
        <v>1832</v>
      </c>
      <c r="H139" s="65">
        <f t="shared" si="18"/>
        <v>-322</v>
      </c>
    </row>
    <row r="140" spans="1:8" ht="16.5">
      <c r="A140">
        <f t="shared" si="17"/>
        <v>140</v>
      </c>
      <c r="B140" s="40" t="s">
        <v>42</v>
      </c>
      <c r="C140" s="60" t="s">
        <v>142</v>
      </c>
      <c r="D140" s="34"/>
      <c r="E140" s="35">
        <v>20</v>
      </c>
      <c r="F140" s="35">
        <f>1332+74</f>
        <v>1406</v>
      </c>
      <c r="G140" s="35">
        <f>1645+104</f>
        <v>1749</v>
      </c>
      <c r="H140" s="65">
        <f t="shared" si="18"/>
        <v>-343</v>
      </c>
    </row>
    <row r="141" spans="1:8" ht="16.5">
      <c r="A141">
        <f t="shared" si="17"/>
        <v>141</v>
      </c>
      <c r="B141" s="40" t="s">
        <v>9</v>
      </c>
      <c r="C141" s="59" t="s">
        <v>98</v>
      </c>
      <c r="D141" s="34"/>
      <c r="E141" s="35">
        <v>20</v>
      </c>
      <c r="F141" s="35">
        <f>1337+53</f>
        <v>1390</v>
      </c>
      <c r="G141" s="35">
        <f>1678+83</f>
        <v>1761</v>
      </c>
      <c r="H141" s="65">
        <f t="shared" si="18"/>
        <v>-371</v>
      </c>
    </row>
    <row r="142" spans="1:8" ht="16.5">
      <c r="A142">
        <f t="shared" si="17"/>
        <v>142</v>
      </c>
      <c r="B142" s="40" t="s">
        <v>22</v>
      </c>
      <c r="C142" s="59" t="s">
        <v>165</v>
      </c>
      <c r="D142" s="34"/>
      <c r="E142" s="35">
        <v>20</v>
      </c>
      <c r="F142" s="35">
        <f>1291+62</f>
        <v>1353</v>
      </c>
      <c r="G142" s="35">
        <f>1652+78</f>
        <v>1730</v>
      </c>
      <c r="H142" s="65">
        <f t="shared" si="18"/>
        <v>-377</v>
      </c>
    </row>
    <row r="143" spans="1:8" ht="16.5">
      <c r="A143">
        <f t="shared" si="17"/>
        <v>143</v>
      </c>
      <c r="B143" s="40" t="s">
        <v>48</v>
      </c>
      <c r="C143" s="59" t="s">
        <v>103</v>
      </c>
      <c r="D143" s="34"/>
      <c r="E143" s="35">
        <v>20</v>
      </c>
      <c r="F143" s="35">
        <f>1299+77</f>
        <v>1376</v>
      </c>
      <c r="G143" s="35">
        <f>1696+80</f>
        <v>1776</v>
      </c>
      <c r="H143" s="65">
        <f>F143-G143</f>
        <v>-400</v>
      </c>
    </row>
    <row r="144" spans="1:8" ht="16.5">
      <c r="A144">
        <f t="shared" si="17"/>
        <v>144</v>
      </c>
      <c r="B144" s="40" t="s">
        <v>34</v>
      </c>
      <c r="C144" s="18" t="s">
        <v>124</v>
      </c>
      <c r="D144" s="34"/>
      <c r="E144" s="35">
        <v>20</v>
      </c>
      <c r="F144" s="35">
        <f>1095+65</f>
        <v>1160</v>
      </c>
      <c r="G144" s="35">
        <f>1750+92</f>
        <v>1842</v>
      </c>
      <c r="H144" s="65">
        <f>F144-G144</f>
        <v>-682</v>
      </c>
    </row>
    <row r="145" spans="2:8" ht="15.75">
      <c r="B145" s="40"/>
      <c r="C145" s="14"/>
      <c r="D145" s="13"/>
      <c r="E145" s="35"/>
      <c r="F145" s="35"/>
      <c r="G145" s="35"/>
      <c r="H145" s="65"/>
    </row>
    <row r="146" spans="2:8" ht="15.75">
      <c r="B146" s="40"/>
      <c r="C146" s="14"/>
      <c r="D146" s="13"/>
      <c r="E146" s="35"/>
      <c r="F146" s="35"/>
      <c r="G146" s="35"/>
      <c r="H146" s="65"/>
    </row>
    <row r="147" spans="2:8" ht="15.75">
      <c r="B147" s="40"/>
      <c r="C147" s="14"/>
      <c r="D147" s="13"/>
      <c r="E147" s="35"/>
      <c r="F147" s="35"/>
      <c r="G147" s="35"/>
      <c r="H147" s="65"/>
    </row>
    <row r="148" spans="2:8" ht="15.75">
      <c r="B148" s="40"/>
      <c r="C148" s="14"/>
      <c r="D148" s="13"/>
      <c r="E148" s="35"/>
      <c r="F148" s="35"/>
      <c r="G148" s="35"/>
      <c r="H148" s="65"/>
    </row>
    <row r="149" spans="2:8" ht="15.75">
      <c r="B149" s="40"/>
      <c r="C149" s="14"/>
      <c r="D149" s="13"/>
      <c r="E149" s="35"/>
      <c r="F149" s="35"/>
      <c r="G149" s="35"/>
      <c r="H149" s="65"/>
    </row>
    <row r="150" spans="2:8" ht="15.75">
      <c r="B150" s="40"/>
      <c r="C150" s="14"/>
      <c r="D150" s="13"/>
      <c r="E150" s="35"/>
      <c r="F150" s="35"/>
      <c r="G150" s="35"/>
      <c r="H150" s="65"/>
    </row>
    <row r="151" spans="2:8" ht="15.75">
      <c r="B151" s="40"/>
      <c r="C151" s="14"/>
      <c r="D151" s="13"/>
      <c r="E151" s="35"/>
      <c r="F151" s="35"/>
      <c r="G151" s="35"/>
      <c r="H151" s="65"/>
    </row>
    <row r="152" spans="2:8" ht="15.75">
      <c r="B152" s="40"/>
      <c r="C152" s="14"/>
      <c r="D152" s="13"/>
      <c r="E152" s="35"/>
      <c r="F152" s="35"/>
      <c r="G152" s="35"/>
      <c r="H152" s="65"/>
    </row>
    <row r="153" spans="2:8" ht="15.75">
      <c r="B153" s="40"/>
      <c r="C153" s="14"/>
      <c r="D153" s="13"/>
      <c r="E153" s="35"/>
      <c r="F153" s="35"/>
      <c r="G153" s="35"/>
      <c r="H153" s="65"/>
    </row>
    <row r="154" spans="2:8" ht="15.75">
      <c r="B154" s="40"/>
      <c r="C154" s="14"/>
      <c r="D154" s="13"/>
      <c r="E154" s="35"/>
      <c r="F154" s="35"/>
      <c r="G154" s="35"/>
      <c r="H154" s="65"/>
    </row>
    <row r="155" spans="2:8" ht="15.75">
      <c r="B155" s="40"/>
      <c r="C155" s="14"/>
      <c r="D155" s="13"/>
      <c r="E155" s="35"/>
      <c r="F155" s="35"/>
      <c r="G155" s="35"/>
      <c r="H155" s="65"/>
    </row>
  </sheetData>
  <printOptions gridLines="1" horizontalCentered="1"/>
  <pageMargins left="0.7874015748031497" right="0.7874015748031497" top="0.45" bottom="0.85" header="0.25" footer="0.63"/>
  <pageSetup horizontalDpi="300" verticalDpi="300" orientation="portrait" paperSize="9" scale="99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156"/>
  <sheetViews>
    <sheetView workbookViewId="0" topLeftCell="A1">
      <selection activeCell="A1" sqref="A1"/>
    </sheetView>
  </sheetViews>
  <sheetFormatPr defaultColWidth="11.00390625" defaultRowHeight="15.75"/>
  <cols>
    <col min="1" max="1" width="3.875" style="2" customWidth="1"/>
    <col min="2" max="2" width="5.25390625" style="0" customWidth="1"/>
    <col min="3" max="3" width="17.625" style="0" customWidth="1"/>
    <col min="4" max="4" width="5.75390625" style="0" customWidth="1"/>
    <col min="5" max="5" width="4.625" style="0" customWidth="1"/>
    <col min="6" max="6" width="4.25390625" style="0" customWidth="1"/>
    <col min="7" max="7" width="7.00390625" style="0" customWidth="1"/>
    <col min="8" max="8" width="6.875" style="0" customWidth="1"/>
    <col min="9" max="9" width="8.375" style="0" customWidth="1"/>
    <col min="10" max="10" width="8.50390625" style="0" customWidth="1"/>
    <col min="11" max="11" width="7.875" style="0" customWidth="1"/>
    <col min="12" max="12" width="4.75390625" style="14" bestFit="1" customWidth="1"/>
  </cols>
  <sheetData>
    <row r="1" spans="1:13" ht="30">
      <c r="A1" s="7" t="s">
        <v>51</v>
      </c>
      <c r="B1" s="7" t="s">
        <v>0</v>
      </c>
      <c r="C1" s="6" t="s">
        <v>166</v>
      </c>
      <c r="D1" s="9" t="s">
        <v>1</v>
      </c>
      <c r="E1" s="9" t="s">
        <v>52</v>
      </c>
      <c r="F1" s="9" t="s">
        <v>2</v>
      </c>
      <c r="G1" s="9" t="s">
        <v>3</v>
      </c>
      <c r="H1" s="8" t="s">
        <v>4</v>
      </c>
      <c r="I1" s="8" t="s">
        <v>5</v>
      </c>
      <c r="J1" s="8" t="s">
        <v>6</v>
      </c>
      <c r="K1" s="8" t="s">
        <v>7</v>
      </c>
      <c r="L1" s="30" t="s">
        <v>8</v>
      </c>
      <c r="M1">
        <f>682/20</f>
        <v>34.1</v>
      </c>
    </row>
    <row r="2" spans="1:12" ht="15.75">
      <c r="A2" s="13">
        <v>1</v>
      </c>
      <c r="B2" s="33" t="s">
        <v>26</v>
      </c>
      <c r="C2" s="16" t="s">
        <v>56</v>
      </c>
      <c r="D2" s="34">
        <f aca="true" t="shared" si="0" ref="D2:D27">E2+F2</f>
        <v>40</v>
      </c>
      <c r="E2" s="35">
        <v>20</v>
      </c>
      <c r="F2" s="36">
        <v>20</v>
      </c>
      <c r="G2" s="37">
        <v>0</v>
      </c>
      <c r="H2" s="35">
        <f>1525+90</f>
        <v>1615</v>
      </c>
      <c r="I2" s="35">
        <f>1275+65</f>
        <v>1340</v>
      </c>
      <c r="J2" s="64">
        <f aca="true" t="shared" si="1" ref="J2:J41">H2/E2</f>
        <v>80.75</v>
      </c>
      <c r="K2" s="64">
        <f aca="true" t="shared" si="2" ref="K2:K41">I2/E2</f>
        <v>67</v>
      </c>
      <c r="L2" s="67">
        <f>H2-I2</f>
        <v>275</v>
      </c>
    </row>
    <row r="3" spans="1:12" ht="15.75">
      <c r="A3" s="13">
        <f>A2+1</f>
        <v>2</v>
      </c>
      <c r="B3" s="33" t="s">
        <v>42</v>
      </c>
      <c r="C3" s="16" t="s">
        <v>62</v>
      </c>
      <c r="D3" s="34">
        <f t="shared" si="0"/>
        <v>39</v>
      </c>
      <c r="E3" s="35">
        <v>20</v>
      </c>
      <c r="F3" s="36">
        <v>19</v>
      </c>
      <c r="G3" s="37">
        <v>1</v>
      </c>
      <c r="H3" s="35">
        <f>1729+108</f>
        <v>1837</v>
      </c>
      <c r="I3" s="35">
        <f>1377+74</f>
        <v>1451</v>
      </c>
      <c r="J3" s="64">
        <f t="shared" si="1"/>
        <v>91.85</v>
      </c>
      <c r="K3" s="64">
        <f t="shared" si="2"/>
        <v>72.55</v>
      </c>
      <c r="L3" s="67">
        <f>H3-I3</f>
        <v>386</v>
      </c>
    </row>
    <row r="4" spans="1:12" ht="15.75">
      <c r="A4" s="13">
        <f aca="true" t="shared" si="3" ref="A4:A19">A3+1</f>
        <v>3</v>
      </c>
      <c r="B4" s="33" t="s">
        <v>9</v>
      </c>
      <c r="C4" s="16" t="s">
        <v>10</v>
      </c>
      <c r="D4" s="34">
        <f t="shared" si="0"/>
        <v>38</v>
      </c>
      <c r="E4" s="35">
        <v>20</v>
      </c>
      <c r="F4" s="36">
        <v>18</v>
      </c>
      <c r="G4" s="37">
        <v>2</v>
      </c>
      <c r="H4" s="35">
        <f>1699+89</f>
        <v>1788</v>
      </c>
      <c r="I4" s="35">
        <f>1267+81</f>
        <v>1348</v>
      </c>
      <c r="J4" s="64">
        <f t="shared" si="1"/>
        <v>89.4</v>
      </c>
      <c r="K4" s="64">
        <f t="shared" si="2"/>
        <v>67.4</v>
      </c>
      <c r="L4" s="67">
        <f>H4-I4</f>
        <v>440</v>
      </c>
    </row>
    <row r="5" spans="1:12" ht="15.75">
      <c r="A5" s="13">
        <f t="shared" si="3"/>
        <v>4</v>
      </c>
      <c r="B5" s="33" t="s">
        <v>19</v>
      </c>
      <c r="C5" s="49" t="s">
        <v>83</v>
      </c>
      <c r="D5" s="34">
        <f t="shared" si="0"/>
        <v>38</v>
      </c>
      <c r="E5" s="35">
        <v>20</v>
      </c>
      <c r="F5" s="36">
        <v>18</v>
      </c>
      <c r="G5" s="37">
        <v>2</v>
      </c>
      <c r="H5" s="35">
        <f>1659+72</f>
        <v>1731</v>
      </c>
      <c r="I5" s="35">
        <f>1294+70</f>
        <v>1364</v>
      </c>
      <c r="J5" s="64">
        <f t="shared" si="1"/>
        <v>86.55</v>
      </c>
      <c r="K5" s="64">
        <f t="shared" si="2"/>
        <v>68.2</v>
      </c>
      <c r="L5" s="67">
        <f aca="true" t="shared" si="4" ref="L5:L25">H5-I5</f>
        <v>367</v>
      </c>
    </row>
    <row r="6" spans="1:12" ht="15.75">
      <c r="A6" s="13">
        <f t="shared" si="3"/>
        <v>5</v>
      </c>
      <c r="B6" s="33" t="s">
        <v>34</v>
      </c>
      <c r="C6" s="16" t="s">
        <v>153</v>
      </c>
      <c r="D6" s="34">
        <f t="shared" si="0"/>
        <v>38</v>
      </c>
      <c r="E6" s="35">
        <v>20</v>
      </c>
      <c r="F6" s="36">
        <v>18</v>
      </c>
      <c r="G6" s="37">
        <v>2</v>
      </c>
      <c r="H6" s="35">
        <f>1687+94</f>
        <v>1781</v>
      </c>
      <c r="I6" s="35">
        <f>1380+76</f>
        <v>1456</v>
      </c>
      <c r="J6" s="64">
        <f t="shared" si="1"/>
        <v>89.05</v>
      </c>
      <c r="K6" s="64">
        <f t="shared" si="2"/>
        <v>72.8</v>
      </c>
      <c r="L6" s="67">
        <f aca="true" t="shared" si="5" ref="L6:L14">H6-I6</f>
        <v>325</v>
      </c>
    </row>
    <row r="7" spans="1:12" ht="15.75">
      <c r="A7" s="13">
        <f t="shared" si="3"/>
        <v>6</v>
      </c>
      <c r="B7" s="40" t="s">
        <v>42</v>
      </c>
      <c r="C7" s="14" t="s">
        <v>138</v>
      </c>
      <c r="D7" s="34">
        <f t="shared" si="0"/>
        <v>38</v>
      </c>
      <c r="E7" s="35">
        <v>20</v>
      </c>
      <c r="F7" s="36">
        <v>18</v>
      </c>
      <c r="G7" s="37">
        <v>2</v>
      </c>
      <c r="H7" s="35">
        <f>1622+104</f>
        <v>1726</v>
      </c>
      <c r="I7" s="35">
        <f>1334+74</f>
        <v>1408</v>
      </c>
      <c r="J7" s="64">
        <f t="shared" si="1"/>
        <v>86.3</v>
      </c>
      <c r="K7" s="64">
        <f t="shared" si="2"/>
        <v>70.4</v>
      </c>
      <c r="L7" s="67">
        <f t="shared" si="5"/>
        <v>318</v>
      </c>
    </row>
    <row r="8" spans="1:12" ht="15.75">
      <c r="A8" s="13">
        <f t="shared" si="3"/>
        <v>7</v>
      </c>
      <c r="B8" s="40" t="s">
        <v>34</v>
      </c>
      <c r="C8" s="14" t="s">
        <v>27</v>
      </c>
      <c r="D8" s="34">
        <f t="shared" si="0"/>
        <v>37</v>
      </c>
      <c r="E8" s="35">
        <v>20</v>
      </c>
      <c r="F8" s="36">
        <v>17</v>
      </c>
      <c r="G8" s="37">
        <v>3</v>
      </c>
      <c r="H8" s="35">
        <f>1551+72</f>
        <v>1623</v>
      </c>
      <c r="I8" s="35">
        <v>1278</v>
      </c>
      <c r="J8" s="64">
        <f t="shared" si="1"/>
        <v>81.15</v>
      </c>
      <c r="K8" s="64">
        <f t="shared" si="2"/>
        <v>63.9</v>
      </c>
      <c r="L8" s="38">
        <f t="shared" si="5"/>
        <v>345</v>
      </c>
    </row>
    <row r="9" spans="1:12" ht="15.75">
      <c r="A9" s="13">
        <f t="shared" si="3"/>
        <v>8</v>
      </c>
      <c r="B9" s="40" t="s">
        <v>19</v>
      </c>
      <c r="C9" s="12" t="s">
        <v>11</v>
      </c>
      <c r="D9" s="34">
        <v>37</v>
      </c>
      <c r="E9" s="35">
        <v>20</v>
      </c>
      <c r="F9" s="36">
        <v>17</v>
      </c>
      <c r="G9" s="37">
        <v>3</v>
      </c>
      <c r="H9" s="35">
        <v>1731</v>
      </c>
      <c r="I9" s="35">
        <v>1432</v>
      </c>
      <c r="J9" s="64">
        <v>86.55</v>
      </c>
      <c r="K9" s="64">
        <v>71.6</v>
      </c>
      <c r="L9" s="38">
        <v>299</v>
      </c>
    </row>
    <row r="10" spans="1:12" ht="15.75">
      <c r="A10" s="13">
        <f t="shared" si="3"/>
        <v>9</v>
      </c>
      <c r="B10" s="33" t="s">
        <v>22</v>
      </c>
      <c r="C10" s="16" t="s">
        <v>28</v>
      </c>
      <c r="D10" s="34">
        <f t="shared" si="0"/>
        <v>37</v>
      </c>
      <c r="E10" s="35">
        <v>20</v>
      </c>
      <c r="F10" s="36">
        <v>17</v>
      </c>
      <c r="G10" s="37">
        <v>3</v>
      </c>
      <c r="H10" s="35">
        <f>1473+84</f>
        <v>1557</v>
      </c>
      <c r="I10" s="35">
        <f>1210+77</f>
        <v>1287</v>
      </c>
      <c r="J10" s="64">
        <f t="shared" si="1"/>
        <v>77.85</v>
      </c>
      <c r="K10" s="64">
        <f t="shared" si="2"/>
        <v>64.35</v>
      </c>
      <c r="L10" s="67">
        <f t="shared" si="5"/>
        <v>270</v>
      </c>
    </row>
    <row r="11" spans="1:12" ht="15.75">
      <c r="A11" s="13">
        <f t="shared" si="3"/>
        <v>10</v>
      </c>
      <c r="B11" s="33" t="s">
        <v>38</v>
      </c>
      <c r="C11" s="50" t="s">
        <v>143</v>
      </c>
      <c r="D11" s="34">
        <f t="shared" si="0"/>
        <v>37</v>
      </c>
      <c r="E11" s="35">
        <v>20</v>
      </c>
      <c r="F11" s="36">
        <v>17</v>
      </c>
      <c r="G11" s="37">
        <v>3</v>
      </c>
      <c r="H11" s="35">
        <f>1508+67</f>
        <v>1575</v>
      </c>
      <c r="I11" s="35">
        <f>1278+72</f>
        <v>1350</v>
      </c>
      <c r="J11" s="64">
        <f t="shared" si="1"/>
        <v>78.75</v>
      </c>
      <c r="K11" s="64">
        <f t="shared" si="2"/>
        <v>67.5</v>
      </c>
      <c r="L11" s="67">
        <f t="shared" si="5"/>
        <v>225</v>
      </c>
    </row>
    <row r="12" spans="1:12" ht="15.75">
      <c r="A12" s="13">
        <f t="shared" si="3"/>
        <v>11</v>
      </c>
      <c r="B12" s="40" t="s">
        <v>26</v>
      </c>
      <c r="C12" s="14" t="s">
        <v>31</v>
      </c>
      <c r="D12" s="34">
        <v>37</v>
      </c>
      <c r="E12" s="35">
        <v>20</v>
      </c>
      <c r="F12" s="36">
        <v>17</v>
      </c>
      <c r="G12" s="37">
        <v>3</v>
      </c>
      <c r="H12" s="35">
        <v>1613</v>
      </c>
      <c r="I12" s="35">
        <v>1395</v>
      </c>
      <c r="J12" s="64">
        <v>80.65</v>
      </c>
      <c r="K12" s="64">
        <v>69.75</v>
      </c>
      <c r="L12" s="38">
        <v>218</v>
      </c>
    </row>
    <row r="13" spans="1:12" ht="15.75">
      <c r="A13" s="13">
        <f t="shared" si="3"/>
        <v>12</v>
      </c>
      <c r="B13" s="33" t="s">
        <v>15</v>
      </c>
      <c r="C13" s="23" t="s">
        <v>53</v>
      </c>
      <c r="D13" s="45">
        <f t="shared" si="0"/>
        <v>37</v>
      </c>
      <c r="E13" s="46">
        <v>20</v>
      </c>
      <c r="F13" s="47">
        <v>17</v>
      </c>
      <c r="G13" s="48">
        <v>3</v>
      </c>
      <c r="H13" s="46">
        <f>1591+91</f>
        <v>1682</v>
      </c>
      <c r="I13" s="46">
        <f>1395+78</f>
        <v>1473</v>
      </c>
      <c r="J13" s="64">
        <f t="shared" si="1"/>
        <v>84.1</v>
      </c>
      <c r="K13" s="64">
        <f t="shared" si="2"/>
        <v>73.65</v>
      </c>
      <c r="L13" s="67">
        <f t="shared" si="5"/>
        <v>209</v>
      </c>
    </row>
    <row r="14" spans="1:12" ht="15.75">
      <c r="A14" s="13">
        <f t="shared" si="3"/>
        <v>13</v>
      </c>
      <c r="B14" s="40" t="s">
        <v>34</v>
      </c>
      <c r="C14" s="14" t="s">
        <v>59</v>
      </c>
      <c r="D14" s="34">
        <f t="shared" si="0"/>
        <v>36</v>
      </c>
      <c r="E14" s="35">
        <v>20</v>
      </c>
      <c r="F14" s="36">
        <v>16</v>
      </c>
      <c r="G14" s="37">
        <v>4</v>
      </c>
      <c r="H14" s="35">
        <f>1653+78</f>
        <v>1731</v>
      </c>
      <c r="I14" s="35">
        <f>1415+80</f>
        <v>1495</v>
      </c>
      <c r="J14" s="64">
        <f t="shared" si="1"/>
        <v>86.55</v>
      </c>
      <c r="K14" s="64">
        <f t="shared" si="2"/>
        <v>74.75</v>
      </c>
      <c r="L14" s="67">
        <f t="shared" si="5"/>
        <v>236</v>
      </c>
    </row>
    <row r="15" spans="1:12" ht="15.75">
      <c r="A15" s="13">
        <f t="shared" si="3"/>
        <v>14</v>
      </c>
      <c r="B15" s="33" t="s">
        <v>48</v>
      </c>
      <c r="C15" s="16" t="s">
        <v>99</v>
      </c>
      <c r="D15" s="34">
        <f t="shared" si="0"/>
        <v>36</v>
      </c>
      <c r="E15" s="35">
        <v>20</v>
      </c>
      <c r="F15" s="36">
        <v>16</v>
      </c>
      <c r="G15" s="37">
        <v>4</v>
      </c>
      <c r="H15" s="35">
        <f>1589+104</f>
        <v>1693</v>
      </c>
      <c r="I15" s="35">
        <v>1476</v>
      </c>
      <c r="J15" s="64">
        <f t="shared" si="1"/>
        <v>84.65</v>
      </c>
      <c r="K15" s="64">
        <f t="shared" si="2"/>
        <v>73.8</v>
      </c>
      <c r="L15" s="67">
        <f t="shared" si="4"/>
        <v>217</v>
      </c>
    </row>
    <row r="16" spans="1:12" ht="15.75">
      <c r="A16" s="13">
        <f t="shared" si="3"/>
        <v>15</v>
      </c>
      <c r="B16" s="33" t="s">
        <v>30</v>
      </c>
      <c r="C16" s="16" t="s">
        <v>158</v>
      </c>
      <c r="D16" s="34">
        <f t="shared" si="0"/>
        <v>36</v>
      </c>
      <c r="E16" s="35">
        <v>20</v>
      </c>
      <c r="F16" s="36">
        <v>16</v>
      </c>
      <c r="G16" s="37">
        <v>4</v>
      </c>
      <c r="H16" s="35">
        <f>1607+94</f>
        <v>1701</v>
      </c>
      <c r="I16" s="35">
        <f>1420+66</f>
        <v>1486</v>
      </c>
      <c r="J16" s="64">
        <f>H16/E16</f>
        <v>85.05</v>
      </c>
      <c r="K16" s="64">
        <f>I16/E16</f>
        <v>74.3</v>
      </c>
      <c r="L16" s="38">
        <f t="shared" si="4"/>
        <v>215</v>
      </c>
    </row>
    <row r="17" spans="1:12" ht="15.75">
      <c r="A17" s="13">
        <f t="shared" si="3"/>
        <v>16</v>
      </c>
      <c r="B17" s="40" t="s">
        <v>38</v>
      </c>
      <c r="C17" s="14" t="s">
        <v>145</v>
      </c>
      <c r="D17" s="34">
        <f t="shared" si="0"/>
        <v>36</v>
      </c>
      <c r="E17" s="35">
        <v>20</v>
      </c>
      <c r="F17" s="36">
        <v>16</v>
      </c>
      <c r="G17" s="37">
        <v>4</v>
      </c>
      <c r="H17" s="35">
        <f>1630+91</f>
        <v>1721</v>
      </c>
      <c r="I17" s="35">
        <f>1448+74</f>
        <v>1522</v>
      </c>
      <c r="J17" s="64">
        <f t="shared" si="1"/>
        <v>86.05</v>
      </c>
      <c r="K17" s="64">
        <f t="shared" si="2"/>
        <v>76.1</v>
      </c>
      <c r="L17" s="67">
        <f t="shared" si="4"/>
        <v>199</v>
      </c>
    </row>
    <row r="18" spans="1:12" ht="15.75">
      <c r="A18" s="13">
        <f t="shared" si="3"/>
        <v>17</v>
      </c>
      <c r="B18" s="33" t="s">
        <v>36</v>
      </c>
      <c r="C18" s="49" t="s">
        <v>117</v>
      </c>
      <c r="D18" s="34">
        <f t="shared" si="0"/>
        <v>34</v>
      </c>
      <c r="E18" s="35">
        <v>19</v>
      </c>
      <c r="F18" s="36">
        <v>15</v>
      </c>
      <c r="G18" s="37">
        <v>4</v>
      </c>
      <c r="H18" s="35">
        <f>1292+76</f>
        <v>1368</v>
      </c>
      <c r="I18" s="35">
        <f>1219+71</f>
        <v>1290</v>
      </c>
      <c r="J18" s="64">
        <f t="shared" si="1"/>
        <v>72</v>
      </c>
      <c r="K18" s="64">
        <f t="shared" si="2"/>
        <v>67.89473684210526</v>
      </c>
      <c r="L18" s="67">
        <f t="shared" si="4"/>
        <v>78</v>
      </c>
    </row>
    <row r="19" spans="1:12" ht="15.75">
      <c r="A19" s="13">
        <f t="shared" si="3"/>
        <v>18</v>
      </c>
      <c r="B19" s="40" t="s">
        <v>9</v>
      </c>
      <c r="C19" s="14" t="s">
        <v>127</v>
      </c>
      <c r="D19" s="34">
        <f t="shared" si="0"/>
        <v>35</v>
      </c>
      <c r="E19" s="35">
        <v>20</v>
      </c>
      <c r="F19" s="36">
        <v>15</v>
      </c>
      <c r="G19" s="37">
        <v>5</v>
      </c>
      <c r="H19" s="35">
        <f>1912+110</f>
        <v>2022</v>
      </c>
      <c r="I19" s="35">
        <f>1658+80</f>
        <v>1738</v>
      </c>
      <c r="J19" s="64">
        <f t="shared" si="1"/>
        <v>101.1</v>
      </c>
      <c r="K19" s="64">
        <f t="shared" si="2"/>
        <v>86.9</v>
      </c>
      <c r="L19" s="67">
        <f t="shared" si="4"/>
        <v>284</v>
      </c>
    </row>
    <row r="20" spans="1:12" ht="15.75">
      <c r="A20" s="13">
        <f aca="true" t="shared" si="6" ref="A20:A35">A19+1</f>
        <v>19</v>
      </c>
      <c r="B20" s="40" t="s">
        <v>36</v>
      </c>
      <c r="C20" s="14" t="s">
        <v>116</v>
      </c>
      <c r="D20" s="34">
        <f t="shared" si="0"/>
        <v>35</v>
      </c>
      <c r="E20" s="35">
        <v>20</v>
      </c>
      <c r="F20" s="36">
        <v>15</v>
      </c>
      <c r="G20" s="37">
        <v>5</v>
      </c>
      <c r="H20" s="35">
        <f>1559+62</f>
        <v>1621</v>
      </c>
      <c r="I20" s="35">
        <f>1328+45</f>
        <v>1373</v>
      </c>
      <c r="J20" s="64">
        <f t="shared" si="1"/>
        <v>81.05</v>
      </c>
      <c r="K20" s="64">
        <f t="shared" si="2"/>
        <v>68.65</v>
      </c>
      <c r="L20" s="67">
        <f t="shared" si="4"/>
        <v>248</v>
      </c>
    </row>
    <row r="21" spans="1:12" ht="15.75">
      <c r="A21" s="13">
        <f t="shared" si="6"/>
        <v>20</v>
      </c>
      <c r="B21" s="40" t="s">
        <v>22</v>
      </c>
      <c r="C21" s="14" t="s">
        <v>57</v>
      </c>
      <c r="D21" s="34">
        <f t="shared" si="0"/>
        <v>35</v>
      </c>
      <c r="E21" s="35">
        <v>20</v>
      </c>
      <c r="F21" s="36">
        <v>15</v>
      </c>
      <c r="G21" s="37">
        <v>5</v>
      </c>
      <c r="H21" s="35">
        <f>1534+72</f>
        <v>1606</v>
      </c>
      <c r="I21" s="35">
        <f>1364+66</f>
        <v>1430</v>
      </c>
      <c r="J21" s="64">
        <f t="shared" si="1"/>
        <v>80.3</v>
      </c>
      <c r="K21" s="64">
        <f t="shared" si="2"/>
        <v>71.5</v>
      </c>
      <c r="L21" s="67">
        <f t="shared" si="4"/>
        <v>176</v>
      </c>
    </row>
    <row r="22" spans="1:12" ht="15.75">
      <c r="A22" s="13">
        <f t="shared" si="6"/>
        <v>21</v>
      </c>
      <c r="B22" s="33" t="s">
        <v>47</v>
      </c>
      <c r="C22" s="50" t="s">
        <v>104</v>
      </c>
      <c r="D22" s="34">
        <f t="shared" si="0"/>
        <v>35</v>
      </c>
      <c r="E22" s="35">
        <v>20</v>
      </c>
      <c r="F22" s="36">
        <v>15</v>
      </c>
      <c r="G22" s="37">
        <v>5</v>
      </c>
      <c r="H22" s="35">
        <f>1735+83</f>
        <v>1818</v>
      </c>
      <c r="I22" s="35">
        <f>1590+67</f>
        <v>1657</v>
      </c>
      <c r="J22" s="64">
        <f t="shared" si="1"/>
        <v>90.9</v>
      </c>
      <c r="K22" s="64">
        <f t="shared" si="2"/>
        <v>82.85</v>
      </c>
      <c r="L22" s="67">
        <f t="shared" si="4"/>
        <v>161</v>
      </c>
    </row>
    <row r="23" spans="1:12" ht="15.75">
      <c r="A23" s="13">
        <f t="shared" si="6"/>
        <v>22</v>
      </c>
      <c r="B23" s="40" t="s">
        <v>34</v>
      </c>
      <c r="C23" s="14" t="s">
        <v>65</v>
      </c>
      <c r="D23" s="34">
        <f t="shared" si="0"/>
        <v>35</v>
      </c>
      <c r="E23" s="35">
        <v>20</v>
      </c>
      <c r="F23" s="36">
        <v>15</v>
      </c>
      <c r="G23" s="37">
        <v>5</v>
      </c>
      <c r="H23" s="35">
        <f>1543+80</f>
        <v>1623</v>
      </c>
      <c r="I23" s="35">
        <f>1387+78</f>
        <v>1465</v>
      </c>
      <c r="J23" s="64">
        <f t="shared" si="1"/>
        <v>81.15</v>
      </c>
      <c r="K23" s="64">
        <f t="shared" si="2"/>
        <v>73.25</v>
      </c>
      <c r="L23" s="67">
        <f t="shared" si="4"/>
        <v>158</v>
      </c>
    </row>
    <row r="24" spans="1:12" ht="15.75">
      <c r="A24" s="13">
        <f t="shared" si="6"/>
        <v>23</v>
      </c>
      <c r="B24" s="40" t="s">
        <v>38</v>
      </c>
      <c r="C24" s="14" t="s">
        <v>41</v>
      </c>
      <c r="D24" s="34">
        <f t="shared" si="0"/>
        <v>35</v>
      </c>
      <c r="E24" s="35">
        <v>20</v>
      </c>
      <c r="F24" s="36">
        <v>15</v>
      </c>
      <c r="G24" s="37">
        <v>5</v>
      </c>
      <c r="H24" s="35">
        <f>1525+80</f>
        <v>1605</v>
      </c>
      <c r="I24" s="35">
        <f>1413+64</f>
        <v>1477</v>
      </c>
      <c r="J24" s="64">
        <f t="shared" si="1"/>
        <v>80.25</v>
      </c>
      <c r="K24" s="64">
        <f t="shared" si="2"/>
        <v>73.85</v>
      </c>
      <c r="L24" s="67">
        <f t="shared" si="4"/>
        <v>128</v>
      </c>
    </row>
    <row r="25" spans="1:12" ht="15.75">
      <c r="A25" s="13">
        <f t="shared" si="6"/>
        <v>24</v>
      </c>
      <c r="B25" s="40" t="s">
        <v>38</v>
      </c>
      <c r="C25" s="53" t="s">
        <v>144</v>
      </c>
      <c r="D25" s="34">
        <f t="shared" si="0"/>
        <v>35</v>
      </c>
      <c r="E25" s="35">
        <v>20</v>
      </c>
      <c r="F25" s="36">
        <v>15</v>
      </c>
      <c r="G25" s="37">
        <v>5</v>
      </c>
      <c r="H25" s="35">
        <v>1658</v>
      </c>
      <c r="I25" s="35">
        <v>1593</v>
      </c>
      <c r="J25" s="64">
        <f t="shared" si="1"/>
        <v>82.9</v>
      </c>
      <c r="K25" s="64">
        <f t="shared" si="2"/>
        <v>79.65</v>
      </c>
      <c r="L25" s="38">
        <f t="shared" si="4"/>
        <v>65</v>
      </c>
    </row>
    <row r="26" spans="1:12" ht="15.75">
      <c r="A26" s="13">
        <f t="shared" si="6"/>
        <v>25</v>
      </c>
      <c r="B26" s="40" t="s">
        <v>47</v>
      </c>
      <c r="C26" s="14" t="s">
        <v>125</v>
      </c>
      <c r="D26" s="34">
        <f t="shared" si="0"/>
        <v>34</v>
      </c>
      <c r="E26" s="35">
        <v>20</v>
      </c>
      <c r="F26" s="36">
        <v>14</v>
      </c>
      <c r="G26" s="37">
        <v>6</v>
      </c>
      <c r="H26" s="35">
        <f>1732+79</f>
        <v>1811</v>
      </c>
      <c r="I26" s="35">
        <f>1450+91</f>
        <v>1541</v>
      </c>
      <c r="J26" s="64">
        <f t="shared" si="1"/>
        <v>90.55</v>
      </c>
      <c r="K26" s="64">
        <f t="shared" si="2"/>
        <v>77.05</v>
      </c>
      <c r="L26" s="67">
        <f>H26-I26</f>
        <v>270</v>
      </c>
    </row>
    <row r="27" spans="1:12" ht="15.75">
      <c r="A27" s="13">
        <f t="shared" si="6"/>
        <v>26</v>
      </c>
      <c r="B27" s="40" t="s">
        <v>48</v>
      </c>
      <c r="C27" s="52" t="s">
        <v>134</v>
      </c>
      <c r="D27" s="34">
        <f t="shared" si="0"/>
        <v>34</v>
      </c>
      <c r="E27" s="35">
        <v>20</v>
      </c>
      <c r="F27" s="36">
        <v>14</v>
      </c>
      <c r="G27" s="37">
        <v>6</v>
      </c>
      <c r="H27" s="35">
        <f>1495+78</f>
        <v>1573</v>
      </c>
      <c r="I27" s="35">
        <f>1311+70</f>
        <v>1381</v>
      </c>
      <c r="J27" s="64">
        <f t="shared" si="1"/>
        <v>78.65</v>
      </c>
      <c r="K27" s="64">
        <f t="shared" si="2"/>
        <v>69.05</v>
      </c>
      <c r="L27" s="67">
        <f>H27-I27</f>
        <v>192</v>
      </c>
    </row>
    <row r="28" spans="1:12" ht="15.75">
      <c r="A28" s="13">
        <f t="shared" si="6"/>
        <v>27</v>
      </c>
      <c r="B28" s="40" t="s">
        <v>47</v>
      </c>
      <c r="C28" s="14" t="s">
        <v>44</v>
      </c>
      <c r="D28" s="34">
        <f aca="true" t="shared" si="7" ref="D28:D41">E28+F28</f>
        <v>34</v>
      </c>
      <c r="E28" s="35">
        <v>20</v>
      </c>
      <c r="F28" s="36">
        <v>14</v>
      </c>
      <c r="G28" s="37">
        <v>6</v>
      </c>
      <c r="H28" s="35">
        <f>1643+74</f>
        <v>1717</v>
      </c>
      <c r="I28" s="35">
        <f>1476+72</f>
        <v>1548</v>
      </c>
      <c r="J28" s="64">
        <f t="shared" si="1"/>
        <v>85.85</v>
      </c>
      <c r="K28" s="64">
        <f t="shared" si="2"/>
        <v>77.4</v>
      </c>
      <c r="L28" s="67">
        <f aca="true" t="shared" si="8" ref="L28:L40">H28-I28</f>
        <v>169</v>
      </c>
    </row>
    <row r="29" spans="1:12" ht="15.75">
      <c r="A29" s="13">
        <f t="shared" si="6"/>
        <v>28</v>
      </c>
      <c r="B29" s="40" t="s">
        <v>15</v>
      </c>
      <c r="C29" s="22" t="s">
        <v>54</v>
      </c>
      <c r="D29" s="45">
        <f t="shared" si="7"/>
        <v>34</v>
      </c>
      <c r="E29" s="46">
        <v>20</v>
      </c>
      <c r="F29" s="47">
        <v>14</v>
      </c>
      <c r="G29" s="48">
        <v>6</v>
      </c>
      <c r="H29" s="46">
        <f>1522+70</f>
        <v>1592</v>
      </c>
      <c r="I29" s="46">
        <f>1371+68</f>
        <v>1439</v>
      </c>
      <c r="J29" s="64">
        <f t="shared" si="1"/>
        <v>79.6</v>
      </c>
      <c r="K29" s="64">
        <f t="shared" si="2"/>
        <v>71.95</v>
      </c>
      <c r="L29" s="67">
        <f t="shared" si="8"/>
        <v>153</v>
      </c>
    </row>
    <row r="30" spans="1:12" ht="15.75">
      <c r="A30" s="13">
        <f t="shared" si="6"/>
        <v>29</v>
      </c>
      <c r="B30" s="33" t="s">
        <v>30</v>
      </c>
      <c r="C30" s="68" t="s">
        <v>60</v>
      </c>
      <c r="D30" s="34">
        <f>E30+F30</f>
        <v>34</v>
      </c>
      <c r="E30" s="35">
        <v>20</v>
      </c>
      <c r="F30" s="36">
        <v>14</v>
      </c>
      <c r="G30" s="37">
        <v>6</v>
      </c>
      <c r="H30" s="35">
        <f>1667+67</f>
        <v>1734</v>
      </c>
      <c r="I30" s="35">
        <f>1530+62</f>
        <v>1592</v>
      </c>
      <c r="J30" s="64">
        <f t="shared" si="1"/>
        <v>86.7</v>
      </c>
      <c r="K30" s="64">
        <f t="shared" si="2"/>
        <v>79.6</v>
      </c>
      <c r="L30" s="67">
        <f t="shared" si="8"/>
        <v>142</v>
      </c>
    </row>
    <row r="31" spans="1:12" ht="15.75">
      <c r="A31" s="13">
        <f t="shared" si="6"/>
        <v>30</v>
      </c>
      <c r="B31" s="40" t="s">
        <v>38</v>
      </c>
      <c r="C31" s="12" t="s">
        <v>146</v>
      </c>
      <c r="D31" s="34">
        <f t="shared" si="7"/>
        <v>34</v>
      </c>
      <c r="E31" s="35">
        <v>20</v>
      </c>
      <c r="F31" s="36">
        <v>14</v>
      </c>
      <c r="G31" s="37">
        <v>6</v>
      </c>
      <c r="H31" s="35">
        <f>1634+71</f>
        <v>1705</v>
      </c>
      <c r="I31" s="35">
        <f>1508+55</f>
        <v>1563</v>
      </c>
      <c r="J31" s="64">
        <f t="shared" si="1"/>
        <v>85.25</v>
      </c>
      <c r="K31" s="64">
        <f t="shared" si="2"/>
        <v>78.15</v>
      </c>
      <c r="L31" s="67">
        <f t="shared" si="8"/>
        <v>142</v>
      </c>
    </row>
    <row r="32" spans="1:12" ht="15.75">
      <c r="A32" s="13">
        <f t="shared" si="6"/>
        <v>31</v>
      </c>
      <c r="B32" s="40" t="s">
        <v>42</v>
      </c>
      <c r="C32" s="52" t="s">
        <v>139</v>
      </c>
      <c r="D32" s="34">
        <f t="shared" si="7"/>
        <v>34</v>
      </c>
      <c r="E32" s="35">
        <v>20</v>
      </c>
      <c r="F32" s="36">
        <v>14</v>
      </c>
      <c r="G32" s="37">
        <v>6</v>
      </c>
      <c r="H32" s="35">
        <f>1459+75</f>
        <v>1534</v>
      </c>
      <c r="I32" s="35">
        <f>1412+68</f>
        <v>1480</v>
      </c>
      <c r="J32" s="64">
        <f t="shared" si="1"/>
        <v>76.7</v>
      </c>
      <c r="K32" s="64">
        <f t="shared" si="2"/>
        <v>74</v>
      </c>
      <c r="L32" s="67">
        <f t="shared" si="8"/>
        <v>54</v>
      </c>
    </row>
    <row r="33" spans="1:12" ht="15.75">
      <c r="A33" s="13">
        <f t="shared" si="6"/>
        <v>32</v>
      </c>
      <c r="B33" s="40" t="s">
        <v>48</v>
      </c>
      <c r="C33" s="53" t="s">
        <v>135</v>
      </c>
      <c r="D33" s="34">
        <f t="shared" si="7"/>
        <v>33</v>
      </c>
      <c r="E33" s="35">
        <v>20</v>
      </c>
      <c r="F33" s="36">
        <v>13</v>
      </c>
      <c r="G33" s="37">
        <v>7</v>
      </c>
      <c r="H33" s="35">
        <f>1577+87</f>
        <v>1664</v>
      </c>
      <c r="I33" s="35">
        <f>1377+44</f>
        <v>1421</v>
      </c>
      <c r="J33" s="64">
        <f t="shared" si="1"/>
        <v>83.2</v>
      </c>
      <c r="K33" s="64">
        <f t="shared" si="2"/>
        <v>71.05</v>
      </c>
      <c r="L33" s="67">
        <f t="shared" si="8"/>
        <v>243</v>
      </c>
    </row>
    <row r="34" spans="1:12" ht="15.75">
      <c r="A34" s="13">
        <f t="shared" si="6"/>
        <v>33</v>
      </c>
      <c r="B34" s="40" t="s">
        <v>30</v>
      </c>
      <c r="C34" s="14" t="s">
        <v>58</v>
      </c>
      <c r="D34" s="34">
        <f t="shared" si="7"/>
        <v>33</v>
      </c>
      <c r="E34" s="35">
        <v>20</v>
      </c>
      <c r="F34" s="36">
        <v>13</v>
      </c>
      <c r="G34" s="37">
        <v>7</v>
      </c>
      <c r="H34" s="35">
        <f>1499+101</f>
        <v>1600</v>
      </c>
      <c r="I34" s="35">
        <f>1316+71</f>
        <v>1387</v>
      </c>
      <c r="J34" s="64">
        <f t="shared" si="1"/>
        <v>80</v>
      </c>
      <c r="K34" s="64">
        <f t="shared" si="2"/>
        <v>69.35</v>
      </c>
      <c r="L34" s="67">
        <f t="shared" si="8"/>
        <v>213</v>
      </c>
    </row>
    <row r="35" spans="1:12" ht="15.75">
      <c r="A35" s="13">
        <f t="shared" si="6"/>
        <v>34</v>
      </c>
      <c r="B35" s="40" t="s">
        <v>30</v>
      </c>
      <c r="C35" s="53" t="s">
        <v>159</v>
      </c>
      <c r="D35" s="34">
        <f t="shared" si="7"/>
        <v>33</v>
      </c>
      <c r="E35" s="35">
        <v>20</v>
      </c>
      <c r="F35" s="36">
        <v>13</v>
      </c>
      <c r="G35" s="37">
        <v>7</v>
      </c>
      <c r="H35" s="35">
        <f>1526+79</f>
        <v>1605</v>
      </c>
      <c r="I35" s="35">
        <f>1354+61</f>
        <v>1415</v>
      </c>
      <c r="J35" s="64">
        <f t="shared" si="1"/>
        <v>80.25</v>
      </c>
      <c r="K35" s="64">
        <f t="shared" si="2"/>
        <v>70.75</v>
      </c>
      <c r="L35" s="67">
        <f t="shared" si="8"/>
        <v>190</v>
      </c>
    </row>
    <row r="36" spans="1:12" ht="15.75">
      <c r="A36" s="13">
        <f aca="true" t="shared" si="9" ref="A36:A51">A35+1</f>
        <v>35</v>
      </c>
      <c r="B36" s="40" t="s">
        <v>36</v>
      </c>
      <c r="C36" s="14" t="s">
        <v>64</v>
      </c>
      <c r="D36" s="34">
        <f t="shared" si="7"/>
        <v>33</v>
      </c>
      <c r="E36" s="35">
        <v>20</v>
      </c>
      <c r="F36" s="36">
        <v>13</v>
      </c>
      <c r="G36" s="37">
        <v>7</v>
      </c>
      <c r="H36" s="35">
        <f>1573+101</f>
        <v>1674</v>
      </c>
      <c r="I36" s="35">
        <f>1412+91</f>
        <v>1503</v>
      </c>
      <c r="J36" s="64">
        <f t="shared" si="1"/>
        <v>83.7</v>
      </c>
      <c r="K36" s="64">
        <f t="shared" si="2"/>
        <v>75.15</v>
      </c>
      <c r="L36" s="67">
        <f t="shared" si="8"/>
        <v>171</v>
      </c>
    </row>
    <row r="37" spans="1:12" ht="15.75">
      <c r="A37" s="13">
        <f t="shared" si="9"/>
        <v>36</v>
      </c>
      <c r="B37" s="40" t="s">
        <v>15</v>
      </c>
      <c r="C37" s="22" t="s">
        <v>14</v>
      </c>
      <c r="D37" s="45">
        <f t="shared" si="7"/>
        <v>33</v>
      </c>
      <c r="E37" s="46">
        <v>20</v>
      </c>
      <c r="F37" s="47">
        <v>13</v>
      </c>
      <c r="G37" s="48">
        <v>7</v>
      </c>
      <c r="H37" s="46">
        <v>1637</v>
      </c>
      <c r="I37" s="46">
        <v>1481</v>
      </c>
      <c r="J37" s="64">
        <f t="shared" si="1"/>
        <v>81.85</v>
      </c>
      <c r="K37" s="64">
        <f t="shared" si="2"/>
        <v>74.05</v>
      </c>
      <c r="L37" s="67">
        <f t="shared" si="8"/>
        <v>156</v>
      </c>
    </row>
    <row r="38" spans="1:12" ht="15.75">
      <c r="A38" s="13">
        <f t="shared" si="9"/>
        <v>37</v>
      </c>
      <c r="B38" s="40" t="s">
        <v>30</v>
      </c>
      <c r="C38" s="14" t="s">
        <v>61</v>
      </c>
      <c r="D38" s="34">
        <f t="shared" si="7"/>
        <v>33</v>
      </c>
      <c r="E38" s="35">
        <v>20</v>
      </c>
      <c r="F38" s="36">
        <v>13</v>
      </c>
      <c r="G38" s="37">
        <v>7</v>
      </c>
      <c r="H38" s="35">
        <f>1397+93</f>
        <v>1490</v>
      </c>
      <c r="I38" s="35">
        <f>1283+72</f>
        <v>1355</v>
      </c>
      <c r="J38" s="64">
        <f t="shared" si="1"/>
        <v>74.5</v>
      </c>
      <c r="K38" s="64">
        <f t="shared" si="2"/>
        <v>67.75</v>
      </c>
      <c r="L38" s="67">
        <f t="shared" si="8"/>
        <v>135</v>
      </c>
    </row>
    <row r="39" spans="1:12" ht="15.75">
      <c r="A39" s="13">
        <f t="shared" si="9"/>
        <v>38</v>
      </c>
      <c r="B39" s="40" t="s">
        <v>48</v>
      </c>
      <c r="C39" s="12" t="s">
        <v>67</v>
      </c>
      <c r="D39" s="34">
        <f>E39+F39</f>
        <v>33</v>
      </c>
      <c r="E39" s="35">
        <v>20</v>
      </c>
      <c r="F39" s="36">
        <v>13</v>
      </c>
      <c r="G39" s="37">
        <v>7</v>
      </c>
      <c r="H39" s="35">
        <f>1517+76</f>
        <v>1593</v>
      </c>
      <c r="I39" s="35">
        <f>1380+104</f>
        <v>1484</v>
      </c>
      <c r="J39" s="64">
        <f t="shared" si="1"/>
        <v>79.65</v>
      </c>
      <c r="K39" s="64">
        <f t="shared" si="2"/>
        <v>74.2</v>
      </c>
      <c r="L39" s="67">
        <f>H39-I39</f>
        <v>109</v>
      </c>
    </row>
    <row r="40" spans="1:12" ht="15.75">
      <c r="A40" s="13">
        <f t="shared" si="9"/>
        <v>39</v>
      </c>
      <c r="B40" s="40" t="s">
        <v>22</v>
      </c>
      <c r="C40" s="14" t="s">
        <v>164</v>
      </c>
      <c r="D40" s="34">
        <f>E40+F40</f>
        <v>33</v>
      </c>
      <c r="E40" s="35">
        <v>20</v>
      </c>
      <c r="F40" s="36">
        <v>13</v>
      </c>
      <c r="G40" s="37">
        <v>7</v>
      </c>
      <c r="H40" s="35">
        <f>1669+77</f>
        <v>1746</v>
      </c>
      <c r="I40" s="35">
        <f>1565+84</f>
        <v>1649</v>
      </c>
      <c r="J40" s="64">
        <f t="shared" si="1"/>
        <v>87.3</v>
      </c>
      <c r="K40" s="64">
        <f t="shared" si="2"/>
        <v>82.45</v>
      </c>
      <c r="L40" s="67">
        <f t="shared" si="8"/>
        <v>97</v>
      </c>
    </row>
    <row r="41" spans="1:12" ht="15.75">
      <c r="A41" s="13">
        <f t="shared" si="9"/>
        <v>40</v>
      </c>
      <c r="B41" s="40" t="s">
        <v>19</v>
      </c>
      <c r="C41" s="14" t="s">
        <v>85</v>
      </c>
      <c r="D41" s="34">
        <f t="shared" si="7"/>
        <v>33</v>
      </c>
      <c r="E41" s="35">
        <v>20</v>
      </c>
      <c r="F41" s="36">
        <v>13</v>
      </c>
      <c r="G41" s="37">
        <v>7</v>
      </c>
      <c r="H41" s="35">
        <v>1667</v>
      </c>
      <c r="I41" s="35">
        <v>1577</v>
      </c>
      <c r="J41" s="64">
        <f t="shared" si="1"/>
        <v>83.35</v>
      </c>
      <c r="K41" s="64">
        <f t="shared" si="2"/>
        <v>78.85</v>
      </c>
      <c r="L41" s="38">
        <f aca="true" t="shared" si="10" ref="L41:L52">H41-I41</f>
        <v>90</v>
      </c>
    </row>
    <row r="42" spans="1:12" ht="15.75">
      <c r="A42" s="13">
        <f t="shared" si="9"/>
        <v>41</v>
      </c>
      <c r="B42" s="40" t="s">
        <v>9</v>
      </c>
      <c r="C42" s="14" t="s">
        <v>128</v>
      </c>
      <c r="D42" s="34">
        <f>E42+F42</f>
        <v>33</v>
      </c>
      <c r="E42" s="35">
        <v>20</v>
      </c>
      <c r="F42" s="36">
        <v>13</v>
      </c>
      <c r="G42" s="37">
        <v>7</v>
      </c>
      <c r="H42" s="35">
        <f>1490+88</f>
        <v>1578</v>
      </c>
      <c r="I42" s="35">
        <f>1463+45</f>
        <v>1508</v>
      </c>
      <c r="J42" s="64">
        <f aca="true" t="shared" si="11" ref="J42:J52">H42/E42</f>
        <v>78.9</v>
      </c>
      <c r="K42" s="64">
        <f aca="true" t="shared" si="12" ref="K42:K52">I42/E42</f>
        <v>75.4</v>
      </c>
      <c r="L42" s="67">
        <f t="shared" si="10"/>
        <v>70</v>
      </c>
    </row>
    <row r="43" spans="1:12" ht="15.75">
      <c r="A43" s="13">
        <f t="shared" si="9"/>
        <v>42</v>
      </c>
      <c r="B43" s="40" t="s">
        <v>22</v>
      </c>
      <c r="C43" s="12" t="s">
        <v>163</v>
      </c>
      <c r="D43" s="34">
        <f>E43+F43</f>
        <v>33</v>
      </c>
      <c r="E43" s="35">
        <v>20</v>
      </c>
      <c r="F43" s="36">
        <v>13</v>
      </c>
      <c r="G43" s="37">
        <v>7</v>
      </c>
      <c r="H43" s="35">
        <f>1545+66</f>
        <v>1611</v>
      </c>
      <c r="I43" s="35">
        <f>1484+72</f>
        <v>1556</v>
      </c>
      <c r="J43" s="64">
        <f t="shared" si="11"/>
        <v>80.55</v>
      </c>
      <c r="K43" s="64">
        <f t="shared" si="12"/>
        <v>77.8</v>
      </c>
      <c r="L43" s="67">
        <f t="shared" si="10"/>
        <v>55</v>
      </c>
    </row>
    <row r="44" spans="1:12" ht="15.75">
      <c r="A44" s="13">
        <f t="shared" si="9"/>
        <v>43</v>
      </c>
      <c r="B44" s="40" t="s">
        <v>36</v>
      </c>
      <c r="C44" s="12" t="s">
        <v>118</v>
      </c>
      <c r="D44" s="34">
        <f>E44+F44</f>
        <v>33</v>
      </c>
      <c r="E44" s="35">
        <v>20</v>
      </c>
      <c r="F44" s="36">
        <v>13</v>
      </c>
      <c r="G44" s="37">
        <v>7</v>
      </c>
      <c r="H44" s="35">
        <f>1395+82</f>
        <v>1477</v>
      </c>
      <c r="I44" s="35">
        <f>1433+79</f>
        <v>1512</v>
      </c>
      <c r="J44" s="64">
        <f t="shared" si="11"/>
        <v>73.85</v>
      </c>
      <c r="K44" s="64">
        <f t="shared" si="12"/>
        <v>75.6</v>
      </c>
      <c r="L44" s="67">
        <f t="shared" si="10"/>
        <v>-35</v>
      </c>
    </row>
    <row r="45" spans="1:12" ht="15.75">
      <c r="A45" s="13">
        <f t="shared" si="9"/>
        <v>44</v>
      </c>
      <c r="B45" s="40" t="s">
        <v>34</v>
      </c>
      <c r="C45" s="52" t="s">
        <v>122</v>
      </c>
      <c r="D45" s="34">
        <f>E45+F45</f>
        <v>32</v>
      </c>
      <c r="E45" s="35">
        <v>20</v>
      </c>
      <c r="F45" s="36">
        <v>12</v>
      </c>
      <c r="G45" s="37">
        <v>8</v>
      </c>
      <c r="H45" s="35">
        <f>1662+60</f>
        <v>1722</v>
      </c>
      <c r="I45" s="35">
        <f>1481+72</f>
        <v>1553</v>
      </c>
      <c r="J45" s="64">
        <f t="shared" si="11"/>
        <v>86.1</v>
      </c>
      <c r="K45" s="64">
        <f t="shared" si="12"/>
        <v>77.65</v>
      </c>
      <c r="L45" s="38">
        <f t="shared" si="10"/>
        <v>169</v>
      </c>
    </row>
    <row r="46" spans="1:12" ht="15.75">
      <c r="A46" s="13">
        <f t="shared" si="9"/>
        <v>45</v>
      </c>
      <c r="B46" s="40" t="s">
        <v>15</v>
      </c>
      <c r="C46" s="54" t="s">
        <v>90</v>
      </c>
      <c r="D46" s="45">
        <f>E46+F46</f>
        <v>32</v>
      </c>
      <c r="E46" s="46">
        <v>20</v>
      </c>
      <c r="F46" s="47">
        <v>12</v>
      </c>
      <c r="G46" s="48">
        <v>8</v>
      </c>
      <c r="H46" s="46">
        <f>1440+75</f>
        <v>1515</v>
      </c>
      <c r="I46" s="46">
        <f>1283+73</f>
        <v>1356</v>
      </c>
      <c r="J46" s="64">
        <f t="shared" si="11"/>
        <v>75.75</v>
      </c>
      <c r="K46" s="64">
        <f t="shared" si="12"/>
        <v>67.8</v>
      </c>
      <c r="L46" s="67">
        <f t="shared" si="10"/>
        <v>159</v>
      </c>
    </row>
    <row r="47" spans="1:12" ht="15.75">
      <c r="A47" s="13">
        <f t="shared" si="9"/>
        <v>46</v>
      </c>
      <c r="B47" s="40" t="s">
        <v>26</v>
      </c>
      <c r="C47" s="56" t="s">
        <v>162</v>
      </c>
      <c r="D47" s="34">
        <f aca="true" t="shared" si="13" ref="D47:D52">E47+F47</f>
        <v>32</v>
      </c>
      <c r="E47" s="35">
        <v>20</v>
      </c>
      <c r="F47" s="36">
        <v>12</v>
      </c>
      <c r="G47" s="37">
        <v>8</v>
      </c>
      <c r="H47" s="35">
        <f>1606+72</f>
        <v>1678</v>
      </c>
      <c r="I47" s="35">
        <f>1481+83</f>
        <v>1564</v>
      </c>
      <c r="J47" s="64">
        <f t="shared" si="11"/>
        <v>83.9</v>
      </c>
      <c r="K47" s="64">
        <f t="shared" si="12"/>
        <v>78.2</v>
      </c>
      <c r="L47" s="38">
        <f t="shared" si="10"/>
        <v>114</v>
      </c>
    </row>
    <row r="48" spans="1:12" ht="15.75">
      <c r="A48" s="13">
        <f t="shared" si="9"/>
        <v>47</v>
      </c>
      <c r="B48" s="40" t="s">
        <v>26</v>
      </c>
      <c r="C48" s="14" t="s">
        <v>25</v>
      </c>
      <c r="D48" s="34">
        <f t="shared" si="13"/>
        <v>32</v>
      </c>
      <c r="E48" s="35">
        <v>20</v>
      </c>
      <c r="F48" s="36">
        <v>12</v>
      </c>
      <c r="G48" s="37">
        <v>8</v>
      </c>
      <c r="H48" s="35">
        <f>1675+98</f>
        <v>1773</v>
      </c>
      <c r="I48" s="35">
        <f>1611+65</f>
        <v>1676</v>
      </c>
      <c r="J48" s="64">
        <f t="shared" si="11"/>
        <v>88.65</v>
      </c>
      <c r="K48" s="64">
        <f t="shared" si="12"/>
        <v>83.8</v>
      </c>
      <c r="L48" s="67">
        <f t="shared" si="10"/>
        <v>97</v>
      </c>
    </row>
    <row r="49" spans="1:12" ht="15.75">
      <c r="A49" s="13">
        <f t="shared" si="9"/>
        <v>48</v>
      </c>
      <c r="B49" s="40" t="s">
        <v>42</v>
      </c>
      <c r="C49" s="14" t="s">
        <v>43</v>
      </c>
      <c r="D49" s="34">
        <f t="shared" si="13"/>
        <v>32</v>
      </c>
      <c r="E49" s="35">
        <v>20</v>
      </c>
      <c r="F49" s="36">
        <v>12</v>
      </c>
      <c r="G49" s="37">
        <v>8</v>
      </c>
      <c r="H49" s="35">
        <f>1633+106</f>
        <v>1739</v>
      </c>
      <c r="I49" s="35">
        <f>1558+95</f>
        <v>1653</v>
      </c>
      <c r="J49" s="64">
        <f t="shared" si="11"/>
        <v>86.95</v>
      </c>
      <c r="K49" s="64">
        <f t="shared" si="12"/>
        <v>82.65</v>
      </c>
      <c r="L49" s="67">
        <f t="shared" si="10"/>
        <v>86</v>
      </c>
    </row>
    <row r="50" spans="1:12" ht="15.75">
      <c r="A50" s="13">
        <f t="shared" si="9"/>
        <v>49</v>
      </c>
      <c r="B50" s="40" t="s">
        <v>9</v>
      </c>
      <c r="C50" s="12" t="s">
        <v>13</v>
      </c>
      <c r="D50" s="34">
        <f t="shared" si="13"/>
        <v>32</v>
      </c>
      <c r="E50" s="35">
        <v>20</v>
      </c>
      <c r="F50" s="36">
        <v>12</v>
      </c>
      <c r="G50" s="37">
        <v>8</v>
      </c>
      <c r="H50" s="35">
        <f>1632+78</f>
        <v>1710</v>
      </c>
      <c r="I50" s="35">
        <f>1555+75</f>
        <v>1630</v>
      </c>
      <c r="J50" s="64">
        <f t="shared" si="11"/>
        <v>85.5</v>
      </c>
      <c r="K50" s="64">
        <f t="shared" si="12"/>
        <v>81.5</v>
      </c>
      <c r="L50" s="67">
        <f t="shared" si="10"/>
        <v>80</v>
      </c>
    </row>
    <row r="51" spans="1:12" ht="15.75">
      <c r="A51" s="13">
        <f t="shared" si="9"/>
        <v>50</v>
      </c>
      <c r="B51" s="40" t="s">
        <v>47</v>
      </c>
      <c r="C51" s="14" t="s">
        <v>66</v>
      </c>
      <c r="D51" s="34">
        <f t="shared" si="13"/>
        <v>32</v>
      </c>
      <c r="E51" s="35">
        <v>20</v>
      </c>
      <c r="F51" s="36">
        <v>12</v>
      </c>
      <c r="G51" s="37">
        <v>8</v>
      </c>
      <c r="H51" s="35">
        <v>1837</v>
      </c>
      <c r="I51" s="35">
        <f>1698+76</f>
        <v>1774</v>
      </c>
      <c r="J51" s="64">
        <f t="shared" si="11"/>
        <v>91.85</v>
      </c>
      <c r="K51" s="64">
        <f t="shared" si="12"/>
        <v>88.7</v>
      </c>
      <c r="L51" s="67">
        <f t="shared" si="10"/>
        <v>63</v>
      </c>
    </row>
    <row r="52" spans="1:12" ht="15.75">
      <c r="A52" s="13">
        <f aca="true" t="shared" si="14" ref="A52:A67">A51+1</f>
        <v>51</v>
      </c>
      <c r="B52" s="40" t="s">
        <v>42</v>
      </c>
      <c r="C52" s="14" t="s">
        <v>140</v>
      </c>
      <c r="D52" s="34">
        <f t="shared" si="13"/>
        <v>32</v>
      </c>
      <c r="E52" s="35">
        <v>20</v>
      </c>
      <c r="F52" s="36">
        <v>12</v>
      </c>
      <c r="G52" s="37">
        <v>8</v>
      </c>
      <c r="H52" s="35">
        <f>1572+68</f>
        <v>1640</v>
      </c>
      <c r="I52" s="35">
        <f>1526+75</f>
        <v>1601</v>
      </c>
      <c r="J52" s="64">
        <f t="shared" si="11"/>
        <v>82</v>
      </c>
      <c r="K52" s="64">
        <f t="shared" si="12"/>
        <v>80.05</v>
      </c>
      <c r="L52" s="67">
        <f t="shared" si="10"/>
        <v>39</v>
      </c>
    </row>
    <row r="53" spans="1:12" ht="15.75">
      <c r="A53" s="13">
        <f t="shared" si="14"/>
        <v>52</v>
      </c>
      <c r="B53" s="40" t="s">
        <v>48</v>
      </c>
      <c r="C53" s="14" t="s">
        <v>46</v>
      </c>
      <c r="D53" s="34">
        <f aca="true" t="shared" si="15" ref="D53:D66">E53+F53</f>
        <v>32</v>
      </c>
      <c r="E53" s="35">
        <v>20</v>
      </c>
      <c r="F53" s="36">
        <v>12</v>
      </c>
      <c r="G53" s="37">
        <v>8</v>
      </c>
      <c r="H53" s="35">
        <f>1447+44</f>
        <v>1491</v>
      </c>
      <c r="I53" s="35">
        <f>1394+87</f>
        <v>1481</v>
      </c>
      <c r="J53" s="64">
        <f>H53/E53</f>
        <v>74.55</v>
      </c>
      <c r="K53" s="64">
        <f>I53/E53</f>
        <v>74.05</v>
      </c>
      <c r="L53" s="67">
        <f>H53-I53</f>
        <v>10</v>
      </c>
    </row>
    <row r="54" spans="1:12" ht="15.75">
      <c r="A54" s="13">
        <f t="shared" si="14"/>
        <v>53</v>
      </c>
      <c r="B54" s="40" t="s">
        <v>48</v>
      </c>
      <c r="C54" s="14" t="s">
        <v>136</v>
      </c>
      <c r="D54" s="34">
        <f t="shared" si="15"/>
        <v>32</v>
      </c>
      <c r="E54" s="35">
        <v>20</v>
      </c>
      <c r="F54" s="36">
        <v>12</v>
      </c>
      <c r="G54" s="37">
        <v>8</v>
      </c>
      <c r="H54" s="35">
        <f>1493+80</f>
        <v>1573</v>
      </c>
      <c r="I54" s="35">
        <f>1503+77</f>
        <v>1580</v>
      </c>
      <c r="J54" s="64">
        <f>H54/E54</f>
        <v>78.65</v>
      </c>
      <c r="K54" s="64">
        <f>I54/E54</f>
        <v>79</v>
      </c>
      <c r="L54" s="67">
        <f aca="true" t="shared" si="16" ref="L54:L65">H54-I54</f>
        <v>-7</v>
      </c>
    </row>
    <row r="55" spans="1:12" ht="15.75">
      <c r="A55" s="13">
        <f t="shared" si="14"/>
        <v>54</v>
      </c>
      <c r="B55" s="40" t="s">
        <v>47</v>
      </c>
      <c r="C55" s="12" t="s">
        <v>167</v>
      </c>
      <c r="D55" s="34">
        <f t="shared" si="15"/>
        <v>31</v>
      </c>
      <c r="E55" s="35">
        <v>20</v>
      </c>
      <c r="F55" s="36">
        <v>11</v>
      </c>
      <c r="G55" s="37">
        <v>9</v>
      </c>
      <c r="H55" s="35">
        <f>1661+95</f>
        <v>1756</v>
      </c>
      <c r="I55" s="35">
        <f>1574+80</f>
        <v>1654</v>
      </c>
      <c r="J55" s="64">
        <f>H55/E55</f>
        <v>87.8</v>
      </c>
      <c r="K55" s="64">
        <f>I55/E55</f>
        <v>82.7</v>
      </c>
      <c r="L55" s="67">
        <f t="shared" si="16"/>
        <v>102</v>
      </c>
    </row>
    <row r="56" spans="1:12" ht="15.75">
      <c r="A56" s="13">
        <f t="shared" si="14"/>
        <v>55</v>
      </c>
      <c r="B56" s="40" t="s">
        <v>26</v>
      </c>
      <c r="C56" s="14" t="s">
        <v>73</v>
      </c>
      <c r="D56" s="34">
        <f t="shared" si="15"/>
        <v>31</v>
      </c>
      <c r="E56" s="35">
        <v>20</v>
      </c>
      <c r="F56" s="36">
        <v>11</v>
      </c>
      <c r="G56" s="37">
        <v>9</v>
      </c>
      <c r="H56" s="35">
        <f>1603+77</f>
        <v>1680</v>
      </c>
      <c r="I56" s="35">
        <f>1488+97</f>
        <v>1585</v>
      </c>
      <c r="J56" s="64">
        <f aca="true" t="shared" si="17" ref="J56:J65">H56/E56</f>
        <v>84</v>
      </c>
      <c r="K56" s="64">
        <f aca="true" t="shared" si="18" ref="K56:K65">I56/E56</f>
        <v>79.25</v>
      </c>
      <c r="L56" s="67">
        <f t="shared" si="16"/>
        <v>95</v>
      </c>
    </row>
    <row r="57" spans="1:12" ht="15.75">
      <c r="A57" s="13">
        <f t="shared" si="14"/>
        <v>56</v>
      </c>
      <c r="B57" s="40" t="s">
        <v>36</v>
      </c>
      <c r="C57" s="14" t="s">
        <v>150</v>
      </c>
      <c r="D57" s="34">
        <f t="shared" si="15"/>
        <v>31</v>
      </c>
      <c r="E57" s="35">
        <v>20</v>
      </c>
      <c r="F57" s="36">
        <v>11</v>
      </c>
      <c r="G57" s="37">
        <v>9</v>
      </c>
      <c r="H57" s="35">
        <f>1624+116</f>
        <v>1740</v>
      </c>
      <c r="I57" s="35">
        <f>1557+91</f>
        <v>1648</v>
      </c>
      <c r="J57" s="64">
        <f t="shared" si="17"/>
        <v>87</v>
      </c>
      <c r="K57" s="64">
        <f t="shared" si="18"/>
        <v>82.4</v>
      </c>
      <c r="L57" s="67">
        <f t="shared" si="16"/>
        <v>92</v>
      </c>
    </row>
    <row r="58" spans="1:12" ht="15.75">
      <c r="A58" s="13">
        <f t="shared" si="14"/>
        <v>57</v>
      </c>
      <c r="B58" s="40" t="s">
        <v>22</v>
      </c>
      <c r="C58" s="52" t="s">
        <v>77</v>
      </c>
      <c r="D58" s="34">
        <f t="shared" si="15"/>
        <v>31</v>
      </c>
      <c r="E58" s="35">
        <v>20</v>
      </c>
      <c r="F58" s="36">
        <v>11</v>
      </c>
      <c r="G58" s="37">
        <v>9</v>
      </c>
      <c r="H58" s="35">
        <f>1462+87</f>
        <v>1549</v>
      </c>
      <c r="I58" s="35">
        <f>1371+88</f>
        <v>1459</v>
      </c>
      <c r="J58" s="64">
        <f t="shared" si="17"/>
        <v>77.45</v>
      </c>
      <c r="K58" s="64">
        <f t="shared" si="18"/>
        <v>72.95</v>
      </c>
      <c r="L58" s="67">
        <f t="shared" si="16"/>
        <v>90</v>
      </c>
    </row>
    <row r="59" spans="1:12" ht="15.75">
      <c r="A59" s="13">
        <f t="shared" si="14"/>
        <v>58</v>
      </c>
      <c r="B59" s="40" t="s">
        <v>19</v>
      </c>
      <c r="C59" s="14" t="s">
        <v>84</v>
      </c>
      <c r="D59" s="34">
        <f t="shared" si="15"/>
        <v>31</v>
      </c>
      <c r="E59" s="35">
        <v>20</v>
      </c>
      <c r="F59" s="36">
        <v>11</v>
      </c>
      <c r="G59" s="37">
        <v>9</v>
      </c>
      <c r="H59" s="35">
        <f>1584+88</f>
        <v>1672</v>
      </c>
      <c r="I59" s="35">
        <f>1520+75</f>
        <v>1595</v>
      </c>
      <c r="J59" s="64">
        <f t="shared" si="17"/>
        <v>83.6</v>
      </c>
      <c r="K59" s="64">
        <f t="shared" si="18"/>
        <v>79.75</v>
      </c>
      <c r="L59" s="67">
        <f t="shared" si="16"/>
        <v>77</v>
      </c>
    </row>
    <row r="60" spans="1:12" ht="15.75">
      <c r="A60" s="13">
        <f t="shared" si="14"/>
        <v>59</v>
      </c>
      <c r="B60" s="40" t="s">
        <v>48</v>
      </c>
      <c r="C60" s="53" t="s">
        <v>100</v>
      </c>
      <c r="D60" s="34">
        <f t="shared" si="15"/>
        <v>31</v>
      </c>
      <c r="E60" s="35">
        <v>20</v>
      </c>
      <c r="F60" s="36">
        <v>11</v>
      </c>
      <c r="G60" s="37">
        <v>9</v>
      </c>
      <c r="H60" s="35">
        <f>1447+91</f>
        <v>1538</v>
      </c>
      <c r="I60" s="35">
        <f>1404+59</f>
        <v>1463</v>
      </c>
      <c r="J60" s="64">
        <f t="shared" si="17"/>
        <v>76.9</v>
      </c>
      <c r="K60" s="64">
        <f t="shared" si="18"/>
        <v>73.15</v>
      </c>
      <c r="L60" s="67">
        <f t="shared" si="16"/>
        <v>75</v>
      </c>
    </row>
    <row r="61" spans="1:12" ht="15.75">
      <c r="A61" s="13">
        <f t="shared" si="14"/>
        <v>60</v>
      </c>
      <c r="B61" s="40" t="s">
        <v>9</v>
      </c>
      <c r="C61" s="52" t="s">
        <v>95</v>
      </c>
      <c r="D61" s="34">
        <f t="shared" si="15"/>
        <v>31</v>
      </c>
      <c r="E61" s="35">
        <v>20</v>
      </c>
      <c r="F61" s="36">
        <v>11</v>
      </c>
      <c r="G61" s="37">
        <v>9</v>
      </c>
      <c r="H61" s="35">
        <f>1652+81</f>
        <v>1733</v>
      </c>
      <c r="I61" s="35">
        <v>1689</v>
      </c>
      <c r="J61" s="64">
        <f t="shared" si="17"/>
        <v>86.65</v>
      </c>
      <c r="K61" s="64">
        <f t="shared" si="18"/>
        <v>84.45</v>
      </c>
      <c r="L61" s="67">
        <f t="shared" si="16"/>
        <v>44</v>
      </c>
    </row>
    <row r="62" spans="1:12" ht="15.75">
      <c r="A62" s="13">
        <f t="shared" si="14"/>
        <v>61</v>
      </c>
      <c r="B62" s="40" t="s">
        <v>15</v>
      </c>
      <c r="C62" s="22" t="s">
        <v>16</v>
      </c>
      <c r="D62" s="45">
        <f t="shared" si="15"/>
        <v>31</v>
      </c>
      <c r="E62" s="46">
        <v>20</v>
      </c>
      <c r="F62" s="47">
        <v>11</v>
      </c>
      <c r="G62" s="48">
        <v>9</v>
      </c>
      <c r="H62" s="46">
        <f>1533+73</f>
        <v>1606</v>
      </c>
      <c r="I62" s="46">
        <f>1487+75</f>
        <v>1562</v>
      </c>
      <c r="J62" s="64">
        <f t="shared" si="17"/>
        <v>80.3</v>
      </c>
      <c r="K62" s="64">
        <f t="shared" si="18"/>
        <v>78.1</v>
      </c>
      <c r="L62" s="67">
        <f t="shared" si="16"/>
        <v>44</v>
      </c>
    </row>
    <row r="63" spans="1:12" ht="15.75">
      <c r="A63" s="13">
        <f t="shared" si="14"/>
        <v>62</v>
      </c>
      <c r="B63" s="40" t="s">
        <v>9</v>
      </c>
      <c r="C63" s="14" t="s">
        <v>55</v>
      </c>
      <c r="D63" s="34">
        <f t="shared" si="15"/>
        <v>31</v>
      </c>
      <c r="E63" s="35">
        <v>20</v>
      </c>
      <c r="F63" s="36">
        <v>11</v>
      </c>
      <c r="G63" s="37">
        <v>9</v>
      </c>
      <c r="H63" s="35">
        <f>1640+91</f>
        <v>1731</v>
      </c>
      <c r="I63" s="35">
        <f>1625+82</f>
        <v>1707</v>
      </c>
      <c r="J63" s="64">
        <f t="shared" si="17"/>
        <v>86.55</v>
      </c>
      <c r="K63" s="64">
        <f t="shared" si="18"/>
        <v>85.35</v>
      </c>
      <c r="L63" s="67">
        <f t="shared" si="16"/>
        <v>24</v>
      </c>
    </row>
    <row r="64" spans="1:12" ht="15.75">
      <c r="A64" s="13">
        <f t="shared" si="14"/>
        <v>63</v>
      </c>
      <c r="B64" s="40" t="s">
        <v>22</v>
      </c>
      <c r="C64" s="14" t="s">
        <v>78</v>
      </c>
      <c r="D64" s="34">
        <f t="shared" si="15"/>
        <v>31</v>
      </c>
      <c r="E64" s="35">
        <v>20</v>
      </c>
      <c r="F64" s="36">
        <v>11</v>
      </c>
      <c r="G64" s="37">
        <v>9</v>
      </c>
      <c r="H64" s="35">
        <v>1579</v>
      </c>
      <c r="I64" s="35">
        <v>1568</v>
      </c>
      <c r="J64" s="64">
        <f t="shared" si="17"/>
        <v>78.95</v>
      </c>
      <c r="K64" s="64">
        <f t="shared" si="18"/>
        <v>78.4</v>
      </c>
      <c r="L64" s="38">
        <f t="shared" si="16"/>
        <v>11</v>
      </c>
    </row>
    <row r="65" spans="1:12" ht="15.75">
      <c r="A65" s="13">
        <f t="shared" si="14"/>
        <v>64</v>
      </c>
      <c r="B65" s="40" t="s">
        <v>15</v>
      </c>
      <c r="C65" s="22" t="s">
        <v>91</v>
      </c>
      <c r="D65" s="45">
        <f t="shared" si="15"/>
        <v>31</v>
      </c>
      <c r="E65" s="46">
        <v>20</v>
      </c>
      <c r="F65" s="47">
        <v>11</v>
      </c>
      <c r="G65" s="48">
        <v>9</v>
      </c>
      <c r="H65" s="46">
        <f>1501+63</f>
        <v>1564</v>
      </c>
      <c r="I65" s="46">
        <f>1475+84</f>
        <v>1559</v>
      </c>
      <c r="J65" s="64">
        <f t="shared" si="17"/>
        <v>78.2</v>
      </c>
      <c r="K65" s="64">
        <f t="shared" si="18"/>
        <v>77.95</v>
      </c>
      <c r="L65" s="67">
        <f t="shared" si="16"/>
        <v>5</v>
      </c>
    </row>
    <row r="66" spans="1:12" ht="15.75">
      <c r="A66" s="13">
        <f t="shared" si="14"/>
        <v>65</v>
      </c>
      <c r="B66" s="40" t="s">
        <v>47</v>
      </c>
      <c r="C66" s="53" t="s">
        <v>106</v>
      </c>
      <c r="D66" s="34">
        <f t="shared" si="15"/>
        <v>31</v>
      </c>
      <c r="E66" s="35">
        <v>20</v>
      </c>
      <c r="F66" s="36">
        <v>11</v>
      </c>
      <c r="G66" s="37">
        <v>9</v>
      </c>
      <c r="H66" s="35">
        <f>1599+66</f>
        <v>1665</v>
      </c>
      <c r="I66" s="35">
        <v>1664</v>
      </c>
      <c r="J66" s="64">
        <f>H66/E66</f>
        <v>83.25</v>
      </c>
      <c r="K66" s="64">
        <f>I66/E66</f>
        <v>83.2</v>
      </c>
      <c r="L66" s="67">
        <f>H66-I66</f>
        <v>1</v>
      </c>
    </row>
    <row r="67" spans="1:12" ht="15.75">
      <c r="A67" s="13">
        <f t="shared" si="14"/>
        <v>66</v>
      </c>
      <c r="B67" s="40" t="s">
        <v>26</v>
      </c>
      <c r="C67" s="14" t="s">
        <v>32</v>
      </c>
      <c r="D67" s="34">
        <f aca="true" t="shared" si="19" ref="D67:D78">E67+F67</f>
        <v>31</v>
      </c>
      <c r="E67" s="35">
        <v>20</v>
      </c>
      <c r="F67" s="36">
        <v>11</v>
      </c>
      <c r="G67" s="37">
        <v>9</v>
      </c>
      <c r="H67" s="35">
        <f>1622+75</f>
        <v>1697</v>
      </c>
      <c r="I67" s="35">
        <f>1627+70</f>
        <v>1697</v>
      </c>
      <c r="J67" s="64">
        <f>H67/E67</f>
        <v>84.85</v>
      </c>
      <c r="K67" s="64">
        <f>I67/E67</f>
        <v>84.85</v>
      </c>
      <c r="L67" s="67">
        <f aca="true" t="shared" si="20" ref="L67:L78">H67-I67</f>
        <v>0</v>
      </c>
    </row>
    <row r="68" spans="1:12" ht="15.75">
      <c r="A68" s="13">
        <f aca="true" t="shared" si="21" ref="A68:A83">A67+1</f>
        <v>67</v>
      </c>
      <c r="B68" s="40" t="s">
        <v>36</v>
      </c>
      <c r="C68" s="14" t="s">
        <v>149</v>
      </c>
      <c r="D68" s="34">
        <f t="shared" si="19"/>
        <v>29</v>
      </c>
      <c r="E68" s="35">
        <v>19</v>
      </c>
      <c r="F68" s="36">
        <v>10</v>
      </c>
      <c r="G68" s="37">
        <v>9</v>
      </c>
      <c r="H68" s="35">
        <f>1407+79</f>
        <v>1486</v>
      </c>
      <c r="I68" s="35">
        <f>1421+82</f>
        <v>1503</v>
      </c>
      <c r="J68" s="64">
        <f aca="true" t="shared" si="22" ref="J68:J78">H68/E68</f>
        <v>78.21052631578948</v>
      </c>
      <c r="K68" s="64">
        <f aca="true" t="shared" si="23" ref="K68:K78">I68/E68</f>
        <v>79.10526315789474</v>
      </c>
      <c r="L68" s="67">
        <f t="shared" si="20"/>
        <v>-17</v>
      </c>
    </row>
    <row r="69" spans="1:12" ht="15.75">
      <c r="A69" s="13">
        <f t="shared" si="21"/>
        <v>68</v>
      </c>
      <c r="B69" s="40" t="s">
        <v>9</v>
      </c>
      <c r="C69" s="14" t="s">
        <v>17</v>
      </c>
      <c r="D69" s="34">
        <f t="shared" si="19"/>
        <v>31</v>
      </c>
      <c r="E69" s="35">
        <v>20</v>
      </c>
      <c r="F69" s="36">
        <v>11</v>
      </c>
      <c r="G69" s="37">
        <v>9</v>
      </c>
      <c r="H69" s="35">
        <f>1594+83</f>
        <v>1677</v>
      </c>
      <c r="I69" s="35">
        <f>1648+53</f>
        <v>1701</v>
      </c>
      <c r="J69" s="64">
        <f t="shared" si="22"/>
        <v>83.85</v>
      </c>
      <c r="K69" s="64">
        <f t="shared" si="23"/>
        <v>85.05</v>
      </c>
      <c r="L69" s="67">
        <f t="shared" si="20"/>
        <v>-24</v>
      </c>
    </row>
    <row r="70" spans="1:12" ht="15.75">
      <c r="A70" s="13">
        <f t="shared" si="21"/>
        <v>69</v>
      </c>
      <c r="B70" s="40" t="s">
        <v>30</v>
      </c>
      <c r="C70" s="14" t="s">
        <v>70</v>
      </c>
      <c r="D70" s="34">
        <f t="shared" si="19"/>
        <v>31</v>
      </c>
      <c r="E70" s="35">
        <v>20</v>
      </c>
      <c r="F70" s="36">
        <v>11</v>
      </c>
      <c r="G70" s="37">
        <v>9</v>
      </c>
      <c r="H70" s="35">
        <v>1587</v>
      </c>
      <c r="I70" s="35">
        <f>1537+78</f>
        <v>1615</v>
      </c>
      <c r="J70" s="64">
        <f t="shared" si="22"/>
        <v>79.35</v>
      </c>
      <c r="K70" s="64">
        <f t="shared" si="23"/>
        <v>80.75</v>
      </c>
      <c r="L70" s="67">
        <f t="shared" si="20"/>
        <v>-28</v>
      </c>
    </row>
    <row r="71" spans="1:12" ht="15.75">
      <c r="A71" s="13">
        <f t="shared" si="21"/>
        <v>70</v>
      </c>
      <c r="B71" s="40" t="s">
        <v>30</v>
      </c>
      <c r="C71" s="12" t="s">
        <v>160</v>
      </c>
      <c r="D71" s="34">
        <f t="shared" si="19"/>
        <v>31</v>
      </c>
      <c r="E71" s="35">
        <v>20</v>
      </c>
      <c r="F71" s="36">
        <v>11</v>
      </c>
      <c r="G71" s="37">
        <v>9</v>
      </c>
      <c r="H71" s="35">
        <f>1483+72</f>
        <v>1555</v>
      </c>
      <c r="I71" s="35">
        <f>1516+93</f>
        <v>1609</v>
      </c>
      <c r="J71" s="64">
        <f t="shared" si="22"/>
        <v>77.75</v>
      </c>
      <c r="K71" s="64">
        <f t="shared" si="23"/>
        <v>80.45</v>
      </c>
      <c r="L71" s="67">
        <f t="shared" si="20"/>
        <v>-54</v>
      </c>
    </row>
    <row r="72" spans="1:12" ht="15.75">
      <c r="A72" s="13">
        <f t="shared" si="21"/>
        <v>71</v>
      </c>
      <c r="B72" s="40" t="s">
        <v>19</v>
      </c>
      <c r="C72" s="14" t="s">
        <v>87</v>
      </c>
      <c r="D72" s="34">
        <f t="shared" si="19"/>
        <v>30</v>
      </c>
      <c r="E72" s="35">
        <v>20</v>
      </c>
      <c r="F72" s="36">
        <v>10</v>
      </c>
      <c r="G72" s="37">
        <v>10</v>
      </c>
      <c r="H72" s="35">
        <f>1442+75</f>
        <v>1517</v>
      </c>
      <c r="I72" s="35">
        <f>1388+88</f>
        <v>1476</v>
      </c>
      <c r="J72" s="64">
        <f t="shared" si="22"/>
        <v>75.85</v>
      </c>
      <c r="K72" s="64">
        <f t="shared" si="23"/>
        <v>73.8</v>
      </c>
      <c r="L72" s="67">
        <f t="shared" si="20"/>
        <v>41</v>
      </c>
    </row>
    <row r="73" spans="1:12" ht="16.5" thickBot="1">
      <c r="A73" s="19">
        <f t="shared" si="21"/>
        <v>72</v>
      </c>
      <c r="B73" s="40" t="s">
        <v>42</v>
      </c>
      <c r="C73" s="57" t="s">
        <v>109</v>
      </c>
      <c r="D73" s="34">
        <f t="shared" si="19"/>
        <v>30</v>
      </c>
      <c r="E73" s="35">
        <v>20</v>
      </c>
      <c r="F73" s="36">
        <v>10</v>
      </c>
      <c r="G73" s="37">
        <v>10</v>
      </c>
      <c r="H73" s="35">
        <f>1564+74</f>
        <v>1638</v>
      </c>
      <c r="I73" s="35">
        <f>1489+108</f>
        <v>1597</v>
      </c>
      <c r="J73" s="64">
        <f t="shared" si="22"/>
        <v>81.9</v>
      </c>
      <c r="K73" s="64">
        <f t="shared" si="23"/>
        <v>79.85</v>
      </c>
      <c r="L73" s="67">
        <f t="shared" si="20"/>
        <v>41</v>
      </c>
    </row>
    <row r="74" spans="1:12" ht="15.75">
      <c r="A74" s="13">
        <f t="shared" si="21"/>
        <v>73</v>
      </c>
      <c r="B74" s="40" t="s">
        <v>42</v>
      </c>
      <c r="C74" s="14" t="s">
        <v>40</v>
      </c>
      <c r="D74" s="34">
        <f t="shared" si="19"/>
        <v>30</v>
      </c>
      <c r="E74" s="35">
        <v>20</v>
      </c>
      <c r="F74" s="36">
        <v>10</v>
      </c>
      <c r="G74" s="37">
        <v>10</v>
      </c>
      <c r="H74" s="35">
        <f>1490+95</f>
        <v>1585</v>
      </c>
      <c r="I74" s="35">
        <f>1438+106</f>
        <v>1544</v>
      </c>
      <c r="J74" s="64">
        <f t="shared" si="22"/>
        <v>79.25</v>
      </c>
      <c r="K74" s="64">
        <f t="shared" si="23"/>
        <v>77.2</v>
      </c>
      <c r="L74" s="67">
        <f t="shared" si="20"/>
        <v>41</v>
      </c>
    </row>
    <row r="75" spans="1:12" ht="15.75">
      <c r="A75" s="13">
        <f t="shared" si="21"/>
        <v>74</v>
      </c>
      <c r="B75" s="40" t="s">
        <v>34</v>
      </c>
      <c r="C75" s="52" t="s">
        <v>154</v>
      </c>
      <c r="D75" s="34">
        <f t="shared" si="19"/>
        <v>30</v>
      </c>
      <c r="E75" s="35">
        <v>20</v>
      </c>
      <c r="F75" s="36">
        <v>10</v>
      </c>
      <c r="G75" s="37">
        <v>10</v>
      </c>
      <c r="H75" s="35">
        <f>1399+83</f>
        <v>1482</v>
      </c>
      <c r="I75" s="35">
        <f>1384+76</f>
        <v>1460</v>
      </c>
      <c r="J75" s="64">
        <f t="shared" si="22"/>
        <v>74.1</v>
      </c>
      <c r="K75" s="64">
        <f t="shared" si="23"/>
        <v>73</v>
      </c>
      <c r="L75" s="67">
        <f t="shared" si="20"/>
        <v>22</v>
      </c>
    </row>
    <row r="76" spans="1:12" ht="15.75">
      <c r="A76" s="13">
        <f t="shared" si="21"/>
        <v>75</v>
      </c>
      <c r="B76" s="40" t="s">
        <v>47</v>
      </c>
      <c r="C76" s="14" t="s">
        <v>107</v>
      </c>
      <c r="D76" s="34">
        <f t="shared" si="19"/>
        <v>30</v>
      </c>
      <c r="E76" s="35">
        <v>20</v>
      </c>
      <c r="F76" s="36">
        <v>10</v>
      </c>
      <c r="G76" s="37">
        <v>10</v>
      </c>
      <c r="H76" s="35">
        <f>1617+91</f>
        <v>1708</v>
      </c>
      <c r="I76" s="35">
        <f>1615+79</f>
        <v>1694</v>
      </c>
      <c r="J76" s="64">
        <f t="shared" si="22"/>
        <v>85.4</v>
      </c>
      <c r="K76" s="64">
        <f t="shared" si="23"/>
        <v>84.7</v>
      </c>
      <c r="L76" s="67">
        <f t="shared" si="20"/>
        <v>14</v>
      </c>
    </row>
    <row r="77" spans="1:12" ht="15.75">
      <c r="A77" s="13">
        <f t="shared" si="21"/>
        <v>76</v>
      </c>
      <c r="B77" s="40" t="s">
        <v>36</v>
      </c>
      <c r="C77" s="14" t="s">
        <v>119</v>
      </c>
      <c r="D77" s="34">
        <f t="shared" si="19"/>
        <v>30</v>
      </c>
      <c r="E77" s="35">
        <v>20</v>
      </c>
      <c r="F77" s="36">
        <v>10</v>
      </c>
      <c r="G77" s="37">
        <v>10</v>
      </c>
      <c r="H77" s="35">
        <f>1513+82</f>
        <v>1595</v>
      </c>
      <c r="I77" s="35">
        <f>1521+79</f>
        <v>1600</v>
      </c>
      <c r="J77" s="64">
        <f t="shared" si="22"/>
        <v>79.75</v>
      </c>
      <c r="K77" s="64">
        <f t="shared" si="23"/>
        <v>80</v>
      </c>
      <c r="L77" s="67">
        <f t="shared" si="20"/>
        <v>-5</v>
      </c>
    </row>
    <row r="78" spans="1:12" ht="15.75">
      <c r="A78" s="13">
        <f t="shared" si="21"/>
        <v>77</v>
      </c>
      <c r="B78" s="40" t="s">
        <v>47</v>
      </c>
      <c r="C78" s="52" t="s">
        <v>105</v>
      </c>
      <c r="D78" s="34">
        <f t="shared" si="19"/>
        <v>30</v>
      </c>
      <c r="E78" s="35">
        <v>20</v>
      </c>
      <c r="F78" s="36">
        <v>10</v>
      </c>
      <c r="G78" s="37">
        <v>10</v>
      </c>
      <c r="H78" s="35">
        <f>1481+64</f>
        <v>1545</v>
      </c>
      <c r="I78" s="35">
        <f>1489+66</f>
        <v>1555</v>
      </c>
      <c r="J78" s="64">
        <f t="shared" si="22"/>
        <v>77.25</v>
      </c>
      <c r="K78" s="64">
        <f t="shared" si="23"/>
        <v>77.75</v>
      </c>
      <c r="L78" s="67">
        <f t="shared" si="20"/>
        <v>-10</v>
      </c>
    </row>
    <row r="79" spans="1:12" ht="15.75">
      <c r="A79" s="13">
        <f t="shared" si="21"/>
        <v>78</v>
      </c>
      <c r="B79" s="40" t="s">
        <v>19</v>
      </c>
      <c r="C79" s="52" t="s">
        <v>131</v>
      </c>
      <c r="D79" s="34">
        <f>E79+F79</f>
        <v>30</v>
      </c>
      <c r="E79" s="35">
        <v>20</v>
      </c>
      <c r="F79" s="36">
        <v>10</v>
      </c>
      <c r="G79" s="37">
        <v>10</v>
      </c>
      <c r="H79" s="35">
        <f>1334+77</f>
        <v>1411</v>
      </c>
      <c r="I79" s="35">
        <f>1379+73</f>
        <v>1452</v>
      </c>
      <c r="J79" s="64">
        <f>H79/E79</f>
        <v>70.55</v>
      </c>
      <c r="K79" s="64">
        <f>I79/E79</f>
        <v>72.6</v>
      </c>
      <c r="L79" s="67">
        <f>H79-I79</f>
        <v>-41</v>
      </c>
    </row>
    <row r="80" spans="1:12" ht="15.75">
      <c r="A80" s="13">
        <f t="shared" si="21"/>
        <v>79</v>
      </c>
      <c r="B80" s="40" t="s">
        <v>9</v>
      </c>
      <c r="C80" s="12" t="s">
        <v>129</v>
      </c>
      <c r="D80" s="34">
        <f aca="true" t="shared" si="24" ref="D80:D93">E80+F80</f>
        <v>30</v>
      </c>
      <c r="E80" s="35">
        <v>20</v>
      </c>
      <c r="F80" s="36">
        <v>10</v>
      </c>
      <c r="G80" s="37">
        <v>10</v>
      </c>
      <c r="H80" s="35">
        <f>1458+80</f>
        <v>1538</v>
      </c>
      <c r="I80" s="35">
        <f>1470+110</f>
        <v>1580</v>
      </c>
      <c r="J80" s="64">
        <f>H80/E80</f>
        <v>76.9</v>
      </c>
      <c r="K80" s="64">
        <f>I80/E80</f>
        <v>79</v>
      </c>
      <c r="L80" s="67">
        <f aca="true" t="shared" si="25" ref="L80:L93">H80-I80</f>
        <v>-42</v>
      </c>
    </row>
    <row r="81" spans="1:12" ht="15.75">
      <c r="A81" s="13">
        <f t="shared" si="21"/>
        <v>80</v>
      </c>
      <c r="B81" s="40" t="s">
        <v>47</v>
      </c>
      <c r="C81" s="14" t="s">
        <v>45</v>
      </c>
      <c r="D81" s="34">
        <f t="shared" si="24"/>
        <v>30</v>
      </c>
      <c r="E81" s="35">
        <v>20</v>
      </c>
      <c r="F81" s="36">
        <v>10</v>
      </c>
      <c r="G81" s="37">
        <v>10</v>
      </c>
      <c r="H81" s="35">
        <f>1494+72</f>
        <v>1566</v>
      </c>
      <c r="I81" s="35">
        <f>1559+74</f>
        <v>1633</v>
      </c>
      <c r="J81" s="64">
        <f aca="true" t="shared" si="26" ref="J81:J93">H81/E81</f>
        <v>78.3</v>
      </c>
      <c r="K81" s="64">
        <f aca="true" t="shared" si="27" ref="K81:K93">I81/E81</f>
        <v>81.65</v>
      </c>
      <c r="L81" s="67">
        <f t="shared" si="25"/>
        <v>-67</v>
      </c>
    </row>
    <row r="82" spans="1:12" ht="15.75">
      <c r="A82" s="13">
        <f t="shared" si="21"/>
        <v>81</v>
      </c>
      <c r="B82" s="40" t="s">
        <v>9</v>
      </c>
      <c r="C82" s="53" t="s">
        <v>96</v>
      </c>
      <c r="D82" s="34">
        <f t="shared" si="24"/>
        <v>30</v>
      </c>
      <c r="E82" s="35">
        <v>20</v>
      </c>
      <c r="F82" s="36">
        <v>10</v>
      </c>
      <c r="G82" s="37">
        <v>10</v>
      </c>
      <c r="H82" s="35">
        <f>1561+82</f>
        <v>1643</v>
      </c>
      <c r="I82" s="35">
        <f>1627+91</f>
        <v>1718</v>
      </c>
      <c r="J82" s="64">
        <f t="shared" si="26"/>
        <v>82.15</v>
      </c>
      <c r="K82" s="64">
        <f t="shared" si="27"/>
        <v>85.9</v>
      </c>
      <c r="L82" s="67">
        <f t="shared" si="25"/>
        <v>-75</v>
      </c>
    </row>
    <row r="83" spans="1:12" ht="15.75">
      <c r="A83" s="13">
        <f t="shared" si="21"/>
        <v>82</v>
      </c>
      <c r="B83" s="40" t="s">
        <v>22</v>
      </c>
      <c r="C83" s="53" t="s">
        <v>76</v>
      </c>
      <c r="D83" s="34">
        <f t="shared" si="24"/>
        <v>29</v>
      </c>
      <c r="E83" s="35">
        <v>20</v>
      </c>
      <c r="F83" s="36">
        <v>9</v>
      </c>
      <c r="G83" s="37">
        <v>11</v>
      </c>
      <c r="H83" s="35">
        <f>1477+74</f>
        <v>1551</v>
      </c>
      <c r="I83" s="35">
        <f>1403+83</f>
        <v>1486</v>
      </c>
      <c r="J83" s="64">
        <f t="shared" si="26"/>
        <v>77.55</v>
      </c>
      <c r="K83" s="64">
        <f t="shared" si="27"/>
        <v>74.3</v>
      </c>
      <c r="L83" s="38">
        <f t="shared" si="25"/>
        <v>65</v>
      </c>
    </row>
    <row r="84" spans="1:12" ht="15.75">
      <c r="A84" s="13">
        <f aca="true" t="shared" si="28" ref="A84:A99">A83+1</f>
        <v>83</v>
      </c>
      <c r="B84" s="40" t="s">
        <v>19</v>
      </c>
      <c r="C84" s="52" t="s">
        <v>86</v>
      </c>
      <c r="D84" s="34">
        <f t="shared" si="24"/>
        <v>29</v>
      </c>
      <c r="E84" s="35">
        <v>20</v>
      </c>
      <c r="F84" s="36">
        <v>9</v>
      </c>
      <c r="G84" s="37">
        <v>11</v>
      </c>
      <c r="H84" s="35">
        <f>1540+73</f>
        <v>1613</v>
      </c>
      <c r="I84" s="35">
        <f>1488+77</f>
        <v>1565</v>
      </c>
      <c r="J84" s="64">
        <f t="shared" si="26"/>
        <v>80.65</v>
      </c>
      <c r="K84" s="64">
        <f t="shared" si="27"/>
        <v>78.25</v>
      </c>
      <c r="L84" s="67">
        <f t="shared" si="25"/>
        <v>48</v>
      </c>
    </row>
    <row r="85" spans="1:12" ht="15.75">
      <c r="A85" s="13">
        <f t="shared" si="28"/>
        <v>84</v>
      </c>
      <c r="B85" s="40" t="s">
        <v>48</v>
      </c>
      <c r="C85" s="52" t="s">
        <v>101</v>
      </c>
      <c r="D85" s="34">
        <f t="shared" si="24"/>
        <v>29</v>
      </c>
      <c r="E85" s="35">
        <v>20</v>
      </c>
      <c r="F85" s="36">
        <v>9</v>
      </c>
      <c r="G85" s="37">
        <v>11</v>
      </c>
      <c r="H85" s="35">
        <f>1525+95</f>
        <v>1620</v>
      </c>
      <c r="I85" s="35">
        <f>1518+63</f>
        <v>1581</v>
      </c>
      <c r="J85" s="64">
        <f t="shared" si="26"/>
        <v>81</v>
      </c>
      <c r="K85" s="64">
        <f t="shared" si="27"/>
        <v>79.05</v>
      </c>
      <c r="L85" s="67">
        <f t="shared" si="25"/>
        <v>39</v>
      </c>
    </row>
    <row r="86" spans="1:12" ht="15.75">
      <c r="A86" s="13">
        <f t="shared" si="28"/>
        <v>85</v>
      </c>
      <c r="B86" s="40" t="s">
        <v>26</v>
      </c>
      <c r="C86" s="12" t="s">
        <v>20</v>
      </c>
      <c r="D86" s="34">
        <f t="shared" si="24"/>
        <v>29</v>
      </c>
      <c r="E86" s="35">
        <v>20</v>
      </c>
      <c r="F86" s="36">
        <v>9</v>
      </c>
      <c r="G86" s="37">
        <v>11</v>
      </c>
      <c r="H86" s="35">
        <f>1449+97</f>
        <v>1546</v>
      </c>
      <c r="I86" s="35">
        <f>1441+77</f>
        <v>1518</v>
      </c>
      <c r="J86" s="64">
        <f t="shared" si="26"/>
        <v>77.3</v>
      </c>
      <c r="K86" s="64">
        <f t="shared" si="27"/>
        <v>75.9</v>
      </c>
      <c r="L86" s="67">
        <f t="shared" si="25"/>
        <v>28</v>
      </c>
    </row>
    <row r="87" spans="1:12" ht="15.75">
      <c r="A87" s="13">
        <f t="shared" si="28"/>
        <v>86</v>
      </c>
      <c r="B87" s="40" t="s">
        <v>34</v>
      </c>
      <c r="C87" s="14" t="s">
        <v>155</v>
      </c>
      <c r="D87" s="34">
        <f t="shared" si="24"/>
        <v>29</v>
      </c>
      <c r="E87" s="35">
        <v>20</v>
      </c>
      <c r="F87" s="36">
        <v>9</v>
      </c>
      <c r="G87" s="37">
        <v>11</v>
      </c>
      <c r="H87" s="35">
        <f>1520+90</f>
        <v>1610</v>
      </c>
      <c r="I87" s="35">
        <f>1504+82</f>
        <v>1586</v>
      </c>
      <c r="J87" s="64">
        <f t="shared" si="26"/>
        <v>80.5</v>
      </c>
      <c r="K87" s="64">
        <f t="shared" si="27"/>
        <v>79.3</v>
      </c>
      <c r="L87" s="67">
        <f t="shared" si="25"/>
        <v>24</v>
      </c>
    </row>
    <row r="88" spans="1:12" ht="15.75">
      <c r="A88" s="13">
        <f t="shared" si="28"/>
        <v>87</v>
      </c>
      <c r="B88" s="40" t="s">
        <v>26</v>
      </c>
      <c r="C88" s="14" t="s">
        <v>21</v>
      </c>
      <c r="D88" s="34">
        <f t="shared" si="24"/>
        <v>29</v>
      </c>
      <c r="E88" s="35">
        <v>20</v>
      </c>
      <c r="F88" s="36">
        <v>9</v>
      </c>
      <c r="G88" s="37">
        <v>11</v>
      </c>
      <c r="H88" s="35">
        <f>1485+65</f>
        <v>1550</v>
      </c>
      <c r="I88" s="35">
        <f>1492+68</f>
        <v>1560</v>
      </c>
      <c r="J88" s="64">
        <f t="shared" si="26"/>
        <v>77.5</v>
      </c>
      <c r="K88" s="64">
        <f t="shared" si="27"/>
        <v>78</v>
      </c>
      <c r="L88" s="67">
        <f t="shared" si="25"/>
        <v>-10</v>
      </c>
    </row>
    <row r="89" spans="1:12" ht="15.75">
      <c r="A89" s="13">
        <f t="shared" si="28"/>
        <v>88</v>
      </c>
      <c r="B89" s="40" t="s">
        <v>19</v>
      </c>
      <c r="C89" s="14" t="s">
        <v>132</v>
      </c>
      <c r="D89" s="34">
        <f t="shared" si="24"/>
        <v>29</v>
      </c>
      <c r="E89" s="35">
        <v>20</v>
      </c>
      <c r="F89" s="36">
        <v>9</v>
      </c>
      <c r="G89" s="37">
        <v>11</v>
      </c>
      <c r="H89" s="35">
        <f>1370+80</f>
        <v>1450</v>
      </c>
      <c r="I89" s="35">
        <f>1411+51</f>
        <v>1462</v>
      </c>
      <c r="J89" s="64">
        <f t="shared" si="26"/>
        <v>72.5</v>
      </c>
      <c r="K89" s="64">
        <f t="shared" si="27"/>
        <v>73.1</v>
      </c>
      <c r="L89" s="67">
        <f t="shared" si="25"/>
        <v>-12</v>
      </c>
    </row>
    <row r="90" spans="1:12" ht="15.75">
      <c r="A90" s="13">
        <f t="shared" si="28"/>
        <v>89</v>
      </c>
      <c r="B90" s="40" t="s">
        <v>36</v>
      </c>
      <c r="C90" s="52" t="s">
        <v>151</v>
      </c>
      <c r="D90" s="34">
        <f t="shared" si="24"/>
        <v>29</v>
      </c>
      <c r="E90" s="35">
        <v>20</v>
      </c>
      <c r="F90" s="36">
        <v>9</v>
      </c>
      <c r="G90" s="37">
        <v>11</v>
      </c>
      <c r="H90" s="35">
        <f>1473+71</f>
        <v>1544</v>
      </c>
      <c r="I90" s="35">
        <f>1534+76</f>
        <v>1610</v>
      </c>
      <c r="J90" s="64">
        <f t="shared" si="26"/>
        <v>77.2</v>
      </c>
      <c r="K90" s="64">
        <f t="shared" si="27"/>
        <v>80.5</v>
      </c>
      <c r="L90" s="67">
        <f t="shared" si="25"/>
        <v>-66</v>
      </c>
    </row>
    <row r="91" spans="1:12" ht="15.75">
      <c r="A91" s="13">
        <f t="shared" si="28"/>
        <v>90</v>
      </c>
      <c r="B91" s="40" t="s">
        <v>15</v>
      </c>
      <c r="C91" s="22" t="s">
        <v>92</v>
      </c>
      <c r="D91" s="45">
        <f t="shared" si="24"/>
        <v>29</v>
      </c>
      <c r="E91" s="46">
        <v>20</v>
      </c>
      <c r="F91" s="47">
        <v>9</v>
      </c>
      <c r="G91" s="48">
        <v>11</v>
      </c>
      <c r="H91" s="46">
        <f>1453+68</f>
        <v>1521</v>
      </c>
      <c r="I91" s="46">
        <f>1537+70</f>
        <v>1607</v>
      </c>
      <c r="J91" s="64">
        <f t="shared" si="26"/>
        <v>76.05</v>
      </c>
      <c r="K91" s="64">
        <f t="shared" si="27"/>
        <v>80.35</v>
      </c>
      <c r="L91" s="67">
        <f t="shared" si="25"/>
        <v>-86</v>
      </c>
    </row>
    <row r="92" spans="1:12" ht="15.75">
      <c r="A92" s="13">
        <f t="shared" si="28"/>
        <v>91</v>
      </c>
      <c r="B92" s="40" t="s">
        <v>36</v>
      </c>
      <c r="C92" s="14" t="s">
        <v>37</v>
      </c>
      <c r="D92" s="34">
        <f t="shared" si="24"/>
        <v>28</v>
      </c>
      <c r="E92" s="35">
        <v>20</v>
      </c>
      <c r="F92" s="36">
        <v>8</v>
      </c>
      <c r="G92" s="37">
        <v>12</v>
      </c>
      <c r="H92" s="35">
        <f>1498+45</f>
        <v>1543</v>
      </c>
      <c r="I92" s="35">
        <f>1498+62</f>
        <v>1560</v>
      </c>
      <c r="J92" s="64">
        <f t="shared" si="26"/>
        <v>77.15</v>
      </c>
      <c r="K92" s="64">
        <f t="shared" si="27"/>
        <v>78</v>
      </c>
      <c r="L92" s="67">
        <f t="shared" si="25"/>
        <v>-17</v>
      </c>
    </row>
    <row r="93" spans="1:12" ht="15.75">
      <c r="A93" s="13">
        <f t="shared" si="28"/>
        <v>92</v>
      </c>
      <c r="B93" s="40" t="s">
        <v>38</v>
      </c>
      <c r="C93" s="14" t="s">
        <v>113</v>
      </c>
      <c r="D93" s="34">
        <f t="shared" si="24"/>
        <v>28</v>
      </c>
      <c r="E93" s="35">
        <v>20</v>
      </c>
      <c r="F93" s="36">
        <v>8</v>
      </c>
      <c r="G93" s="37">
        <v>12</v>
      </c>
      <c r="H93" s="35">
        <f>1393+72</f>
        <v>1465</v>
      </c>
      <c r="I93" s="35">
        <f>1443+67</f>
        <v>1510</v>
      </c>
      <c r="J93" s="64">
        <f t="shared" si="26"/>
        <v>73.25</v>
      </c>
      <c r="K93" s="64">
        <f t="shared" si="27"/>
        <v>75.5</v>
      </c>
      <c r="L93" s="67">
        <f t="shared" si="25"/>
        <v>-45</v>
      </c>
    </row>
    <row r="94" spans="1:12" ht="15.75">
      <c r="A94" s="13">
        <f t="shared" si="28"/>
        <v>93</v>
      </c>
      <c r="B94" s="40" t="s">
        <v>30</v>
      </c>
      <c r="C94" s="14" t="s">
        <v>29</v>
      </c>
      <c r="D94" s="34">
        <f aca="true" t="shared" si="29" ref="D94:D105">E94+F94</f>
        <v>28</v>
      </c>
      <c r="E94" s="35">
        <v>20</v>
      </c>
      <c r="F94" s="36">
        <v>8</v>
      </c>
      <c r="G94" s="37">
        <v>12</v>
      </c>
      <c r="H94" s="35">
        <f>1308+61</f>
        <v>1369</v>
      </c>
      <c r="I94" s="35">
        <f>1347+79</f>
        <v>1426</v>
      </c>
      <c r="J94" s="64">
        <f aca="true" t="shared" si="30" ref="J94:J106">H94/E94</f>
        <v>68.45</v>
      </c>
      <c r="K94" s="64">
        <f aca="true" t="shared" si="31" ref="K94:K106">I94/E94</f>
        <v>71.3</v>
      </c>
      <c r="L94" s="67">
        <f aca="true" t="shared" si="32" ref="L94:L105">H94-I94</f>
        <v>-57</v>
      </c>
    </row>
    <row r="95" spans="1:12" ht="15.75">
      <c r="A95" s="13">
        <f t="shared" si="28"/>
        <v>94</v>
      </c>
      <c r="B95" s="40" t="s">
        <v>48</v>
      </c>
      <c r="C95" s="12" t="s">
        <v>50</v>
      </c>
      <c r="D95" s="34">
        <f t="shared" si="29"/>
        <v>28</v>
      </c>
      <c r="E95" s="35">
        <v>20</v>
      </c>
      <c r="F95" s="36">
        <v>8</v>
      </c>
      <c r="G95" s="37">
        <v>12</v>
      </c>
      <c r="H95" s="35">
        <f>1419+70</f>
        <v>1489</v>
      </c>
      <c r="I95" s="35">
        <f>1469+78</f>
        <v>1547</v>
      </c>
      <c r="J95" s="64">
        <f t="shared" si="30"/>
        <v>74.45</v>
      </c>
      <c r="K95" s="64">
        <f t="shared" si="31"/>
        <v>77.35</v>
      </c>
      <c r="L95" s="67">
        <f t="shared" si="32"/>
        <v>-58</v>
      </c>
    </row>
    <row r="96" spans="1:12" ht="15.75">
      <c r="A96" s="13">
        <f t="shared" si="28"/>
        <v>95</v>
      </c>
      <c r="B96" s="40" t="s">
        <v>38</v>
      </c>
      <c r="C96" s="14" t="s">
        <v>63</v>
      </c>
      <c r="D96" s="34">
        <f t="shared" si="29"/>
        <v>28</v>
      </c>
      <c r="E96" s="35">
        <v>20</v>
      </c>
      <c r="F96" s="36">
        <v>8</v>
      </c>
      <c r="G96" s="37">
        <v>12</v>
      </c>
      <c r="H96" s="35">
        <f>1485+102</f>
        <v>1587</v>
      </c>
      <c r="I96" s="35">
        <f>1569+81</f>
        <v>1650</v>
      </c>
      <c r="J96" s="64">
        <f t="shared" si="30"/>
        <v>79.35</v>
      </c>
      <c r="K96" s="64">
        <f t="shared" si="31"/>
        <v>82.5</v>
      </c>
      <c r="L96" s="67">
        <f t="shared" si="32"/>
        <v>-63</v>
      </c>
    </row>
    <row r="97" spans="1:12" ht="16.5">
      <c r="A97" s="13">
        <f t="shared" si="28"/>
        <v>96</v>
      </c>
      <c r="B97" s="40" t="s">
        <v>15</v>
      </c>
      <c r="C97" s="24" t="s">
        <v>18</v>
      </c>
      <c r="D97" s="45">
        <f t="shared" si="29"/>
        <v>28</v>
      </c>
      <c r="E97" s="46">
        <v>20</v>
      </c>
      <c r="F97" s="47">
        <v>8</v>
      </c>
      <c r="G97" s="48">
        <v>12</v>
      </c>
      <c r="H97" s="46">
        <f>1371+74</f>
        <v>1445</v>
      </c>
      <c r="I97" s="46">
        <f>1441+77</f>
        <v>1518</v>
      </c>
      <c r="J97" s="64">
        <f t="shared" si="30"/>
        <v>72.25</v>
      </c>
      <c r="K97" s="64">
        <f t="shared" si="31"/>
        <v>75.9</v>
      </c>
      <c r="L97" s="67">
        <f t="shared" si="32"/>
        <v>-73</v>
      </c>
    </row>
    <row r="98" spans="1:12" ht="15.75">
      <c r="A98" s="13">
        <f t="shared" si="28"/>
        <v>97</v>
      </c>
      <c r="B98" s="40" t="s">
        <v>22</v>
      </c>
      <c r="C98" s="52" t="s">
        <v>80</v>
      </c>
      <c r="D98" s="34">
        <f t="shared" si="29"/>
        <v>28</v>
      </c>
      <c r="E98" s="35">
        <v>20</v>
      </c>
      <c r="F98" s="36">
        <v>8</v>
      </c>
      <c r="G98" s="37">
        <v>12</v>
      </c>
      <c r="H98" s="35">
        <f>1418+78</f>
        <v>1496</v>
      </c>
      <c r="I98" s="35">
        <f>1512+62</f>
        <v>1574</v>
      </c>
      <c r="J98" s="64">
        <f t="shared" si="30"/>
        <v>74.8</v>
      </c>
      <c r="K98" s="64">
        <f t="shared" si="31"/>
        <v>78.7</v>
      </c>
      <c r="L98" s="67">
        <f t="shared" si="32"/>
        <v>-78</v>
      </c>
    </row>
    <row r="99" spans="1:12" ht="15.75">
      <c r="A99" s="13">
        <f t="shared" si="28"/>
        <v>98</v>
      </c>
      <c r="B99" s="40" t="s">
        <v>19</v>
      </c>
      <c r="C99" s="52" t="s">
        <v>88</v>
      </c>
      <c r="D99" s="34">
        <f t="shared" si="29"/>
        <v>28</v>
      </c>
      <c r="E99" s="35">
        <v>20</v>
      </c>
      <c r="F99" s="36">
        <v>8</v>
      </c>
      <c r="G99" s="37">
        <v>12</v>
      </c>
      <c r="H99" s="35">
        <v>1559</v>
      </c>
      <c r="I99" s="35">
        <v>1640</v>
      </c>
      <c r="J99" s="64">
        <f t="shared" si="30"/>
        <v>77.95</v>
      </c>
      <c r="K99" s="64">
        <f t="shared" si="31"/>
        <v>82</v>
      </c>
      <c r="L99" s="38">
        <f t="shared" si="32"/>
        <v>-81</v>
      </c>
    </row>
    <row r="100" spans="1:12" ht="15.75">
      <c r="A100" s="13">
        <f aca="true" t="shared" si="33" ref="A100:A115">A99+1</f>
        <v>99</v>
      </c>
      <c r="B100" s="40" t="s">
        <v>22</v>
      </c>
      <c r="C100" s="52" t="s">
        <v>82</v>
      </c>
      <c r="D100" s="34">
        <f t="shared" si="29"/>
        <v>28</v>
      </c>
      <c r="E100" s="35">
        <v>20</v>
      </c>
      <c r="F100" s="36">
        <v>8</v>
      </c>
      <c r="G100" s="37">
        <v>12</v>
      </c>
      <c r="H100" s="35">
        <v>1540</v>
      </c>
      <c r="I100" s="35">
        <v>1628</v>
      </c>
      <c r="J100" s="64">
        <f t="shared" si="30"/>
        <v>77</v>
      </c>
      <c r="K100" s="64">
        <f t="shared" si="31"/>
        <v>81.4</v>
      </c>
      <c r="L100" s="38">
        <f t="shared" si="32"/>
        <v>-88</v>
      </c>
    </row>
    <row r="101" spans="1:12" ht="15.75">
      <c r="A101" s="13">
        <f t="shared" si="33"/>
        <v>100</v>
      </c>
      <c r="B101" s="40" t="s">
        <v>15</v>
      </c>
      <c r="C101" s="22" t="s">
        <v>130</v>
      </c>
      <c r="D101" s="45">
        <f t="shared" si="29"/>
        <v>28</v>
      </c>
      <c r="E101" s="46">
        <v>20</v>
      </c>
      <c r="F101" s="47">
        <v>8</v>
      </c>
      <c r="G101" s="48">
        <v>12</v>
      </c>
      <c r="H101" s="46">
        <f>1590+78</f>
        <v>1668</v>
      </c>
      <c r="I101" s="46">
        <f>1665+91</f>
        <v>1756</v>
      </c>
      <c r="J101" s="64">
        <f t="shared" si="30"/>
        <v>83.4</v>
      </c>
      <c r="K101" s="64">
        <f t="shared" si="31"/>
        <v>87.8</v>
      </c>
      <c r="L101" s="67">
        <f t="shared" si="32"/>
        <v>-88</v>
      </c>
    </row>
    <row r="102" spans="1:12" ht="16.5">
      <c r="A102" s="13">
        <f t="shared" si="33"/>
        <v>101</v>
      </c>
      <c r="B102" s="40" t="s">
        <v>47</v>
      </c>
      <c r="C102" s="17" t="s">
        <v>126</v>
      </c>
      <c r="D102" s="34">
        <f t="shared" si="29"/>
        <v>28</v>
      </c>
      <c r="E102" s="35">
        <v>20</v>
      </c>
      <c r="F102" s="36">
        <v>8</v>
      </c>
      <c r="G102" s="37">
        <v>12</v>
      </c>
      <c r="H102" s="35">
        <f>1468+80</f>
        <v>1548</v>
      </c>
      <c r="I102" s="35">
        <f>1545+95</f>
        <v>1640</v>
      </c>
      <c r="J102" s="64">
        <f t="shared" si="30"/>
        <v>77.4</v>
      </c>
      <c r="K102" s="64">
        <f t="shared" si="31"/>
        <v>82</v>
      </c>
      <c r="L102" s="67">
        <f t="shared" si="32"/>
        <v>-92</v>
      </c>
    </row>
    <row r="103" spans="1:12" ht="15.75">
      <c r="A103" s="13">
        <f t="shared" si="33"/>
        <v>102</v>
      </c>
      <c r="B103" s="40" t="s">
        <v>15</v>
      </c>
      <c r="C103" s="55" t="s">
        <v>93</v>
      </c>
      <c r="D103" s="45">
        <f t="shared" si="29"/>
        <v>28</v>
      </c>
      <c r="E103" s="46">
        <v>20</v>
      </c>
      <c r="F103" s="47">
        <v>8</v>
      </c>
      <c r="G103" s="48">
        <v>12</v>
      </c>
      <c r="H103" s="46">
        <f>1453+56</f>
        <v>1509</v>
      </c>
      <c r="I103" s="46">
        <f>1553+69</f>
        <v>1622</v>
      </c>
      <c r="J103" s="64">
        <f t="shared" si="30"/>
        <v>75.45</v>
      </c>
      <c r="K103" s="64">
        <f t="shared" si="31"/>
        <v>81.1</v>
      </c>
      <c r="L103" s="67">
        <f t="shared" si="32"/>
        <v>-113</v>
      </c>
    </row>
    <row r="104" spans="1:12" ht="15.75">
      <c r="A104" s="13">
        <f t="shared" si="33"/>
        <v>103</v>
      </c>
      <c r="B104" s="40" t="s">
        <v>34</v>
      </c>
      <c r="C104" s="12" t="s">
        <v>156</v>
      </c>
      <c r="D104" s="34">
        <f t="shared" si="29"/>
        <v>28</v>
      </c>
      <c r="E104" s="35">
        <v>20</v>
      </c>
      <c r="F104" s="36">
        <v>8</v>
      </c>
      <c r="G104" s="37">
        <v>12</v>
      </c>
      <c r="H104" s="35">
        <f>1472+76</f>
        <v>1548</v>
      </c>
      <c r="I104" s="35">
        <f>1644+94</f>
        <v>1738</v>
      </c>
      <c r="J104" s="64">
        <f t="shared" si="30"/>
        <v>77.4</v>
      </c>
      <c r="K104" s="64">
        <f t="shared" si="31"/>
        <v>86.9</v>
      </c>
      <c r="L104" s="67">
        <f t="shared" si="32"/>
        <v>-190</v>
      </c>
    </row>
    <row r="105" spans="1:12" ht="15.75">
      <c r="A105" s="13">
        <f t="shared" si="33"/>
        <v>104</v>
      </c>
      <c r="B105" s="40" t="s">
        <v>38</v>
      </c>
      <c r="C105" s="53" t="s">
        <v>115</v>
      </c>
      <c r="D105" s="34">
        <f t="shared" si="29"/>
        <v>27</v>
      </c>
      <c r="E105" s="35">
        <v>20</v>
      </c>
      <c r="F105" s="36">
        <v>7</v>
      </c>
      <c r="G105" s="37">
        <v>13</v>
      </c>
      <c r="H105" s="35">
        <f>1448+55</f>
        <v>1503</v>
      </c>
      <c r="I105" s="35">
        <f>1466+71</f>
        <v>1537</v>
      </c>
      <c r="J105" s="64">
        <f>H105/E105</f>
        <v>75.15</v>
      </c>
      <c r="K105" s="64">
        <f>I105/E105</f>
        <v>76.85</v>
      </c>
      <c r="L105" s="67">
        <f t="shared" si="32"/>
        <v>-34</v>
      </c>
    </row>
    <row r="106" spans="1:12" ht="15.75">
      <c r="A106" s="13">
        <f t="shared" si="33"/>
        <v>105</v>
      </c>
      <c r="B106" s="40" t="s">
        <v>38</v>
      </c>
      <c r="C106" s="52" t="s">
        <v>114</v>
      </c>
      <c r="D106" s="34">
        <f aca="true" t="shared" si="34" ref="D106:D117">E106+F106</f>
        <v>27</v>
      </c>
      <c r="E106" s="35">
        <v>20</v>
      </c>
      <c r="F106" s="36">
        <v>7</v>
      </c>
      <c r="G106" s="37">
        <v>13</v>
      </c>
      <c r="H106" s="35">
        <f>1391+74</f>
        <v>1465</v>
      </c>
      <c r="I106" s="35">
        <f>1446+91</f>
        <v>1537</v>
      </c>
      <c r="J106" s="64">
        <f t="shared" si="30"/>
        <v>73.25</v>
      </c>
      <c r="K106" s="64">
        <f t="shared" si="31"/>
        <v>76.85</v>
      </c>
      <c r="L106" s="67">
        <f aca="true" t="shared" si="35" ref="L106:L117">H106-I106</f>
        <v>-72</v>
      </c>
    </row>
    <row r="107" spans="1:12" ht="16.5">
      <c r="A107" s="13">
        <f t="shared" si="33"/>
        <v>106</v>
      </c>
      <c r="B107" s="40" t="s">
        <v>36</v>
      </c>
      <c r="C107" s="17" t="s">
        <v>120</v>
      </c>
      <c r="D107" s="34">
        <f t="shared" si="34"/>
        <v>27</v>
      </c>
      <c r="E107" s="35">
        <v>20</v>
      </c>
      <c r="F107" s="36">
        <v>7</v>
      </c>
      <c r="G107" s="37">
        <v>13</v>
      </c>
      <c r="H107" s="35">
        <f>1467+91</f>
        <v>1558</v>
      </c>
      <c r="I107" s="35">
        <f>1542+116</f>
        <v>1658</v>
      </c>
      <c r="J107" s="64">
        <f aca="true" t="shared" si="36" ref="J107:J117">H107/E107</f>
        <v>77.9</v>
      </c>
      <c r="K107" s="64">
        <f aca="true" t="shared" si="37" ref="K107:K117">I107/E107</f>
        <v>82.9</v>
      </c>
      <c r="L107" s="67">
        <f t="shared" si="35"/>
        <v>-100</v>
      </c>
    </row>
    <row r="108" spans="1:12" ht="15.75">
      <c r="A108" s="13">
        <f t="shared" si="33"/>
        <v>107</v>
      </c>
      <c r="B108" s="40" t="s">
        <v>34</v>
      </c>
      <c r="C108" s="52" t="s">
        <v>157</v>
      </c>
      <c r="D108" s="34">
        <f t="shared" si="34"/>
        <v>27</v>
      </c>
      <c r="E108" s="35">
        <v>20</v>
      </c>
      <c r="F108" s="36">
        <v>7</v>
      </c>
      <c r="G108" s="37">
        <v>13</v>
      </c>
      <c r="H108" s="35">
        <f>1357+92</f>
        <v>1449</v>
      </c>
      <c r="I108" s="35">
        <f>1486+65</f>
        <v>1551</v>
      </c>
      <c r="J108" s="64">
        <f t="shared" si="36"/>
        <v>72.45</v>
      </c>
      <c r="K108" s="64">
        <f t="shared" si="37"/>
        <v>77.55</v>
      </c>
      <c r="L108" s="67">
        <f t="shared" si="35"/>
        <v>-102</v>
      </c>
    </row>
    <row r="109" spans="1:12" ht="16.5">
      <c r="A109" s="13">
        <f t="shared" si="33"/>
        <v>108</v>
      </c>
      <c r="B109" s="40" t="s">
        <v>22</v>
      </c>
      <c r="C109" s="17" t="s">
        <v>79</v>
      </c>
      <c r="D109" s="34">
        <f t="shared" si="34"/>
        <v>27</v>
      </c>
      <c r="E109" s="35">
        <v>20</v>
      </c>
      <c r="F109" s="36">
        <v>7</v>
      </c>
      <c r="G109" s="37">
        <v>13</v>
      </c>
      <c r="H109" s="35">
        <f>1544+83</f>
        <v>1627</v>
      </c>
      <c r="I109" s="35">
        <f>1662+74</f>
        <v>1736</v>
      </c>
      <c r="J109" s="64">
        <f t="shared" si="36"/>
        <v>81.35</v>
      </c>
      <c r="K109" s="64">
        <f t="shared" si="37"/>
        <v>86.8</v>
      </c>
      <c r="L109" s="38">
        <f t="shared" si="35"/>
        <v>-109</v>
      </c>
    </row>
    <row r="110" spans="1:12" ht="16.5">
      <c r="A110" s="13">
        <f t="shared" si="33"/>
        <v>109</v>
      </c>
      <c r="B110" s="40" t="s">
        <v>22</v>
      </c>
      <c r="C110" s="17" t="s">
        <v>81</v>
      </c>
      <c r="D110" s="34">
        <f t="shared" si="34"/>
        <v>27</v>
      </c>
      <c r="E110" s="35">
        <v>20</v>
      </c>
      <c r="F110" s="36">
        <v>7</v>
      </c>
      <c r="G110" s="37">
        <v>13</v>
      </c>
      <c r="H110" s="35">
        <f>1348+88</f>
        <v>1436</v>
      </c>
      <c r="I110" s="35">
        <f>1461+87</f>
        <v>1548</v>
      </c>
      <c r="J110" s="64">
        <f t="shared" si="36"/>
        <v>71.8</v>
      </c>
      <c r="K110" s="64">
        <f t="shared" si="37"/>
        <v>77.4</v>
      </c>
      <c r="L110" s="67">
        <f t="shared" si="35"/>
        <v>-112</v>
      </c>
    </row>
    <row r="111" spans="1:12" ht="15.75">
      <c r="A111" s="13">
        <f t="shared" si="33"/>
        <v>110</v>
      </c>
      <c r="B111" s="40" t="s">
        <v>30</v>
      </c>
      <c r="C111" s="14" t="s">
        <v>69</v>
      </c>
      <c r="D111" s="34">
        <f t="shared" si="34"/>
        <v>27</v>
      </c>
      <c r="E111" s="35">
        <v>20</v>
      </c>
      <c r="F111" s="36">
        <v>7</v>
      </c>
      <c r="G111" s="37">
        <v>13</v>
      </c>
      <c r="H111" s="35">
        <f>1390+66</f>
        <v>1456</v>
      </c>
      <c r="I111" s="35">
        <f>1483+94</f>
        <v>1577</v>
      </c>
      <c r="J111" s="64">
        <f t="shared" si="36"/>
        <v>72.8</v>
      </c>
      <c r="K111" s="64">
        <f t="shared" si="37"/>
        <v>78.85</v>
      </c>
      <c r="L111" s="38">
        <f t="shared" si="35"/>
        <v>-121</v>
      </c>
    </row>
    <row r="112" spans="1:12" ht="15.75">
      <c r="A112" s="13">
        <f t="shared" si="33"/>
        <v>111</v>
      </c>
      <c r="B112" s="40" t="s">
        <v>42</v>
      </c>
      <c r="C112" s="52" t="s">
        <v>112</v>
      </c>
      <c r="D112" s="34">
        <f t="shared" si="34"/>
        <v>27</v>
      </c>
      <c r="E112" s="35">
        <v>20</v>
      </c>
      <c r="F112" s="36">
        <v>7</v>
      </c>
      <c r="G112" s="37">
        <v>13</v>
      </c>
      <c r="H112" s="35">
        <f>1392+97</f>
        <v>1489</v>
      </c>
      <c r="I112" s="35">
        <f>1531+92</f>
        <v>1623</v>
      </c>
      <c r="J112" s="64">
        <f t="shared" si="36"/>
        <v>74.45</v>
      </c>
      <c r="K112" s="64">
        <f t="shared" si="37"/>
        <v>81.15</v>
      </c>
      <c r="L112" s="67">
        <f t="shared" si="35"/>
        <v>-134</v>
      </c>
    </row>
    <row r="113" spans="1:12" ht="16.5">
      <c r="A113" s="13">
        <f t="shared" si="33"/>
        <v>112</v>
      </c>
      <c r="B113" s="40" t="s">
        <v>48</v>
      </c>
      <c r="C113" s="17" t="s">
        <v>137</v>
      </c>
      <c r="D113" s="34">
        <f t="shared" si="34"/>
        <v>27</v>
      </c>
      <c r="E113" s="35">
        <v>20</v>
      </c>
      <c r="F113" s="36">
        <v>7</v>
      </c>
      <c r="G113" s="37">
        <v>13</v>
      </c>
      <c r="H113" s="35">
        <f>1381+59</f>
        <v>1440</v>
      </c>
      <c r="I113" s="35">
        <f>1495+91</f>
        <v>1586</v>
      </c>
      <c r="J113" s="64">
        <f t="shared" si="36"/>
        <v>72</v>
      </c>
      <c r="K113" s="64">
        <f t="shared" si="37"/>
        <v>79.3</v>
      </c>
      <c r="L113" s="67">
        <f t="shared" si="35"/>
        <v>-146</v>
      </c>
    </row>
    <row r="114" spans="1:12" ht="15.75">
      <c r="A114" s="13">
        <f t="shared" si="33"/>
        <v>113</v>
      </c>
      <c r="B114" s="40" t="s">
        <v>42</v>
      </c>
      <c r="C114" s="14" t="s">
        <v>141</v>
      </c>
      <c r="D114" s="34">
        <f t="shared" si="34"/>
        <v>27</v>
      </c>
      <c r="E114" s="35">
        <v>20</v>
      </c>
      <c r="F114" s="36">
        <v>7</v>
      </c>
      <c r="G114" s="37">
        <v>13</v>
      </c>
      <c r="H114" s="35">
        <f>1312+69</f>
        <v>1381</v>
      </c>
      <c r="I114" s="35">
        <f>1553+51</f>
        <v>1604</v>
      </c>
      <c r="J114" s="64">
        <f t="shared" si="36"/>
        <v>69.05</v>
      </c>
      <c r="K114" s="64">
        <f t="shared" si="37"/>
        <v>80.2</v>
      </c>
      <c r="L114" s="67">
        <f t="shared" si="35"/>
        <v>-223</v>
      </c>
    </row>
    <row r="115" spans="1:12" ht="16.5">
      <c r="A115" s="13">
        <f t="shared" si="33"/>
        <v>114</v>
      </c>
      <c r="B115" s="40" t="s">
        <v>15</v>
      </c>
      <c r="C115" s="24" t="s">
        <v>68</v>
      </c>
      <c r="D115" s="45">
        <f t="shared" si="34"/>
        <v>26</v>
      </c>
      <c r="E115" s="46">
        <v>20</v>
      </c>
      <c r="F115" s="47">
        <v>6</v>
      </c>
      <c r="G115" s="48">
        <v>14</v>
      </c>
      <c r="H115" s="46">
        <f>1435+77</f>
        <v>1512</v>
      </c>
      <c r="I115" s="46">
        <f>1539+74</f>
        <v>1613</v>
      </c>
      <c r="J115" s="64">
        <f t="shared" si="36"/>
        <v>75.6</v>
      </c>
      <c r="K115" s="64">
        <f t="shared" si="37"/>
        <v>80.65</v>
      </c>
      <c r="L115" s="67">
        <f t="shared" si="35"/>
        <v>-101</v>
      </c>
    </row>
    <row r="116" spans="1:12" ht="16.5">
      <c r="A116" s="13">
        <f aca="true" t="shared" si="38" ref="A116:A131">A115+1</f>
        <v>115</v>
      </c>
      <c r="B116" s="40" t="s">
        <v>34</v>
      </c>
      <c r="C116" s="58" t="s">
        <v>123</v>
      </c>
      <c r="D116" s="34">
        <f t="shared" si="34"/>
        <v>26</v>
      </c>
      <c r="E116" s="35">
        <v>20</v>
      </c>
      <c r="F116" s="36">
        <v>6</v>
      </c>
      <c r="G116" s="37">
        <v>14</v>
      </c>
      <c r="H116" s="35">
        <f>1395+82</f>
        <v>1477</v>
      </c>
      <c r="I116" s="35">
        <f>1488+90</f>
        <v>1578</v>
      </c>
      <c r="J116" s="64">
        <f t="shared" si="36"/>
        <v>73.85</v>
      </c>
      <c r="K116" s="64">
        <f t="shared" si="37"/>
        <v>78.9</v>
      </c>
      <c r="L116" s="67">
        <f t="shared" si="35"/>
        <v>-101</v>
      </c>
    </row>
    <row r="117" spans="1:12" ht="16.5">
      <c r="A117" s="13">
        <f t="shared" si="38"/>
        <v>116</v>
      </c>
      <c r="B117" s="40" t="s">
        <v>42</v>
      </c>
      <c r="C117" s="17" t="s">
        <v>110</v>
      </c>
      <c r="D117" s="34">
        <f t="shared" si="34"/>
        <v>26</v>
      </c>
      <c r="E117" s="35">
        <v>20</v>
      </c>
      <c r="F117" s="36">
        <v>6</v>
      </c>
      <c r="G117" s="37">
        <v>14</v>
      </c>
      <c r="H117" s="35">
        <f>1335+92</f>
        <v>1427</v>
      </c>
      <c r="I117" s="35">
        <f>1447+97</f>
        <v>1544</v>
      </c>
      <c r="J117" s="64">
        <f t="shared" si="36"/>
        <v>71.35</v>
      </c>
      <c r="K117" s="64">
        <f t="shared" si="37"/>
        <v>77.2</v>
      </c>
      <c r="L117" s="67">
        <f t="shared" si="35"/>
        <v>-117</v>
      </c>
    </row>
    <row r="118" spans="1:12" ht="16.5">
      <c r="A118" s="13">
        <f t="shared" si="38"/>
        <v>117</v>
      </c>
      <c r="B118" s="40" t="s">
        <v>38</v>
      </c>
      <c r="C118" s="17" t="s">
        <v>35</v>
      </c>
      <c r="D118" s="34">
        <f aca="true" t="shared" si="39" ref="D118:D145">E118+F118</f>
        <v>26</v>
      </c>
      <c r="E118" s="35">
        <v>20</v>
      </c>
      <c r="F118" s="36">
        <v>6</v>
      </c>
      <c r="G118" s="37">
        <v>14</v>
      </c>
      <c r="H118" s="35">
        <f>1482+64</f>
        <v>1546</v>
      </c>
      <c r="I118" s="35">
        <f>1598+80</f>
        <v>1678</v>
      </c>
      <c r="J118" s="64">
        <f>H118/E118</f>
        <v>77.3</v>
      </c>
      <c r="K118" s="64">
        <f>I118/E118</f>
        <v>83.9</v>
      </c>
      <c r="L118" s="67">
        <f>H118-I118</f>
        <v>-132</v>
      </c>
    </row>
    <row r="119" spans="1:12" ht="16.5">
      <c r="A119" s="13">
        <f t="shared" si="38"/>
        <v>118</v>
      </c>
      <c r="B119" s="40" t="s">
        <v>26</v>
      </c>
      <c r="C119" s="17" t="s">
        <v>74</v>
      </c>
      <c r="D119" s="34">
        <f t="shared" si="39"/>
        <v>26</v>
      </c>
      <c r="E119" s="35">
        <v>20</v>
      </c>
      <c r="F119" s="36">
        <v>6</v>
      </c>
      <c r="G119" s="37">
        <v>14</v>
      </c>
      <c r="H119" s="35">
        <f>1387+65</f>
        <v>1452</v>
      </c>
      <c r="I119" s="35">
        <v>1599</v>
      </c>
      <c r="J119" s="64">
        <f>H119/E119</f>
        <v>72.6</v>
      </c>
      <c r="K119" s="64">
        <f>I119/E119</f>
        <v>79.95</v>
      </c>
      <c r="L119" s="67">
        <f aca="true" t="shared" si="40" ref="L119:L130">H119-I119</f>
        <v>-147</v>
      </c>
    </row>
    <row r="120" spans="1:12" ht="16.5">
      <c r="A120" s="13">
        <f t="shared" si="38"/>
        <v>119</v>
      </c>
      <c r="B120" s="40" t="s">
        <v>19</v>
      </c>
      <c r="C120" s="17" t="s">
        <v>23</v>
      </c>
      <c r="D120" s="34">
        <f t="shared" si="39"/>
        <v>26</v>
      </c>
      <c r="E120" s="35">
        <v>20</v>
      </c>
      <c r="F120" s="36">
        <v>6</v>
      </c>
      <c r="G120" s="37">
        <v>14</v>
      </c>
      <c r="H120" s="35">
        <f>1391+83</f>
        <v>1474</v>
      </c>
      <c r="I120" s="35">
        <f>1573+88</f>
        <v>1661</v>
      </c>
      <c r="J120" s="64">
        <f aca="true" t="shared" si="41" ref="J120:J130">H120/E120</f>
        <v>73.7</v>
      </c>
      <c r="K120" s="64">
        <f aca="true" t="shared" si="42" ref="K120:K130">I120/E120</f>
        <v>83.05</v>
      </c>
      <c r="L120" s="67">
        <f t="shared" si="40"/>
        <v>-187</v>
      </c>
    </row>
    <row r="121" spans="1:12" ht="15.75">
      <c r="A121" s="13">
        <f t="shared" si="38"/>
        <v>120</v>
      </c>
      <c r="B121" s="40" t="s">
        <v>26</v>
      </c>
      <c r="C121" s="14" t="s">
        <v>33</v>
      </c>
      <c r="D121" s="34">
        <f t="shared" si="39"/>
        <v>26</v>
      </c>
      <c r="E121" s="35">
        <v>20</v>
      </c>
      <c r="F121" s="36">
        <v>6</v>
      </c>
      <c r="G121" s="37">
        <v>14</v>
      </c>
      <c r="H121" s="35">
        <f>1410+70</f>
        <v>1480</v>
      </c>
      <c r="I121" s="35">
        <f>1612+75</f>
        <v>1687</v>
      </c>
      <c r="J121" s="64">
        <f t="shared" si="41"/>
        <v>74</v>
      </c>
      <c r="K121" s="64">
        <f t="shared" si="42"/>
        <v>84.35</v>
      </c>
      <c r="L121" s="67">
        <f t="shared" si="40"/>
        <v>-207</v>
      </c>
    </row>
    <row r="122" spans="1:12" ht="16.5">
      <c r="A122" s="13">
        <f t="shared" si="38"/>
        <v>121</v>
      </c>
      <c r="B122" s="40" t="s">
        <v>19</v>
      </c>
      <c r="C122" s="17" t="s">
        <v>133</v>
      </c>
      <c r="D122" s="34">
        <f t="shared" si="39"/>
        <v>26</v>
      </c>
      <c r="E122" s="35">
        <v>20</v>
      </c>
      <c r="F122" s="36">
        <v>6</v>
      </c>
      <c r="G122" s="37">
        <v>14</v>
      </c>
      <c r="H122" s="35">
        <f>1225+51</f>
        <v>1276</v>
      </c>
      <c r="I122" s="35">
        <f>1475+80</f>
        <v>1555</v>
      </c>
      <c r="J122" s="64">
        <f t="shared" si="41"/>
        <v>63.8</v>
      </c>
      <c r="K122" s="64">
        <f t="shared" si="42"/>
        <v>77.75</v>
      </c>
      <c r="L122" s="67">
        <f t="shared" si="40"/>
        <v>-279</v>
      </c>
    </row>
    <row r="123" spans="1:12" ht="16.5">
      <c r="A123" s="13">
        <f t="shared" si="38"/>
        <v>122</v>
      </c>
      <c r="B123" s="40" t="s">
        <v>36</v>
      </c>
      <c r="C123" s="17" t="s">
        <v>152</v>
      </c>
      <c r="D123" s="34">
        <f t="shared" si="39"/>
        <v>25</v>
      </c>
      <c r="E123" s="35">
        <v>20</v>
      </c>
      <c r="F123" s="36">
        <v>5</v>
      </c>
      <c r="G123" s="37">
        <v>15</v>
      </c>
      <c r="H123" s="35">
        <f>1417+79</f>
        <v>1496</v>
      </c>
      <c r="I123" s="35">
        <f>1529+82</f>
        <v>1611</v>
      </c>
      <c r="J123" s="64">
        <f t="shared" si="41"/>
        <v>74.8</v>
      </c>
      <c r="K123" s="64">
        <f t="shared" si="42"/>
        <v>80.55</v>
      </c>
      <c r="L123" s="67">
        <f t="shared" si="40"/>
        <v>-115</v>
      </c>
    </row>
    <row r="124" spans="1:12" ht="16.5">
      <c r="A124" s="13">
        <f t="shared" si="38"/>
        <v>123</v>
      </c>
      <c r="B124" s="40" t="s">
        <v>30</v>
      </c>
      <c r="C124" s="58" t="s">
        <v>71</v>
      </c>
      <c r="D124" s="34">
        <f t="shared" si="39"/>
        <v>25</v>
      </c>
      <c r="E124" s="35">
        <v>20</v>
      </c>
      <c r="F124" s="36">
        <v>5</v>
      </c>
      <c r="G124" s="37">
        <v>15</v>
      </c>
      <c r="H124" s="35">
        <f>1403+62</f>
        <v>1465</v>
      </c>
      <c r="I124" s="35">
        <f>1590+67</f>
        <v>1657</v>
      </c>
      <c r="J124" s="64">
        <f t="shared" si="41"/>
        <v>73.25</v>
      </c>
      <c r="K124" s="64">
        <f t="shared" si="42"/>
        <v>82.85</v>
      </c>
      <c r="L124" s="67">
        <f t="shared" si="40"/>
        <v>-192</v>
      </c>
    </row>
    <row r="125" spans="1:12" ht="16.5">
      <c r="A125" s="13">
        <f t="shared" si="38"/>
        <v>124</v>
      </c>
      <c r="B125" s="40" t="s">
        <v>30</v>
      </c>
      <c r="C125" s="58" t="s">
        <v>72</v>
      </c>
      <c r="D125" s="34">
        <f t="shared" si="39"/>
        <v>25</v>
      </c>
      <c r="E125" s="35">
        <v>20</v>
      </c>
      <c r="F125" s="36">
        <v>5</v>
      </c>
      <c r="G125" s="37">
        <v>15</v>
      </c>
      <c r="H125" s="35">
        <f>1387+71</f>
        <v>1458</v>
      </c>
      <c r="I125" s="35">
        <f>1557+101</f>
        <v>1658</v>
      </c>
      <c r="J125" s="64">
        <f t="shared" si="41"/>
        <v>72.9</v>
      </c>
      <c r="K125" s="64">
        <f t="shared" si="42"/>
        <v>82.9</v>
      </c>
      <c r="L125" s="67">
        <f t="shared" si="40"/>
        <v>-200</v>
      </c>
    </row>
    <row r="126" spans="1:12" ht="16.5">
      <c r="A126" s="13">
        <f t="shared" si="38"/>
        <v>125</v>
      </c>
      <c r="B126" s="40" t="s">
        <v>9</v>
      </c>
      <c r="C126" s="17" t="s">
        <v>12</v>
      </c>
      <c r="D126" s="34">
        <f t="shared" si="39"/>
        <v>24</v>
      </c>
      <c r="E126" s="35">
        <v>20</v>
      </c>
      <c r="F126" s="36">
        <v>4</v>
      </c>
      <c r="G126" s="37">
        <v>16</v>
      </c>
      <c r="H126" s="35">
        <f>1433+75</f>
        <v>1508</v>
      </c>
      <c r="I126" s="35">
        <f>1559+78</f>
        <v>1637</v>
      </c>
      <c r="J126" s="64">
        <f t="shared" si="41"/>
        <v>75.4</v>
      </c>
      <c r="K126" s="64">
        <f t="shared" si="42"/>
        <v>81.85</v>
      </c>
      <c r="L126" s="67">
        <f t="shared" si="40"/>
        <v>-129</v>
      </c>
    </row>
    <row r="127" spans="1:12" ht="16.5">
      <c r="A127" s="13">
        <f t="shared" si="38"/>
        <v>126</v>
      </c>
      <c r="B127" s="40" t="s">
        <v>42</v>
      </c>
      <c r="C127" s="58" t="s">
        <v>111</v>
      </c>
      <c r="D127" s="34">
        <f t="shared" si="39"/>
        <v>24</v>
      </c>
      <c r="E127" s="35">
        <v>20</v>
      </c>
      <c r="F127" s="36">
        <v>4</v>
      </c>
      <c r="G127" s="37">
        <v>16</v>
      </c>
      <c r="H127" s="35">
        <f>1310+51</f>
        <v>1361</v>
      </c>
      <c r="I127" s="35">
        <f>1440+69</f>
        <v>1509</v>
      </c>
      <c r="J127" s="64">
        <f t="shared" si="41"/>
        <v>68.05</v>
      </c>
      <c r="K127" s="64">
        <f t="shared" si="42"/>
        <v>75.45</v>
      </c>
      <c r="L127" s="67">
        <f t="shared" si="40"/>
        <v>-148</v>
      </c>
    </row>
    <row r="128" spans="1:12" ht="16.5">
      <c r="A128" s="13">
        <f t="shared" si="38"/>
        <v>127</v>
      </c>
      <c r="B128" s="40" t="s">
        <v>38</v>
      </c>
      <c r="C128" s="17" t="s">
        <v>147</v>
      </c>
      <c r="D128" s="34">
        <f t="shared" si="39"/>
        <v>24</v>
      </c>
      <c r="E128" s="35">
        <v>20</v>
      </c>
      <c r="F128" s="36">
        <v>4</v>
      </c>
      <c r="G128" s="37">
        <v>16</v>
      </c>
      <c r="H128" s="35">
        <f>1350+93</f>
        <v>1443</v>
      </c>
      <c r="I128" s="35">
        <v>1608</v>
      </c>
      <c r="J128" s="64">
        <f t="shared" si="41"/>
        <v>72.15</v>
      </c>
      <c r="K128" s="64">
        <f t="shared" si="42"/>
        <v>80.4</v>
      </c>
      <c r="L128" s="38">
        <f t="shared" si="40"/>
        <v>-165</v>
      </c>
    </row>
    <row r="129" spans="1:12" ht="16.5">
      <c r="A129" s="13">
        <f t="shared" si="38"/>
        <v>128</v>
      </c>
      <c r="B129" s="40" t="s">
        <v>26</v>
      </c>
      <c r="C129" s="17" t="s">
        <v>24</v>
      </c>
      <c r="D129" s="34">
        <f t="shared" si="39"/>
        <v>24</v>
      </c>
      <c r="E129" s="35">
        <v>20</v>
      </c>
      <c r="F129" s="36">
        <v>4</v>
      </c>
      <c r="G129" s="37">
        <v>16</v>
      </c>
      <c r="H129" s="35">
        <f>1269+68</f>
        <v>1337</v>
      </c>
      <c r="I129" s="35">
        <f>1448+65</f>
        <v>1513</v>
      </c>
      <c r="J129" s="64">
        <f t="shared" si="41"/>
        <v>66.85</v>
      </c>
      <c r="K129" s="64">
        <f t="shared" si="42"/>
        <v>75.65</v>
      </c>
      <c r="L129" s="67">
        <f t="shared" si="40"/>
        <v>-176</v>
      </c>
    </row>
    <row r="130" spans="1:12" ht="16.5">
      <c r="A130" s="13">
        <f t="shared" si="38"/>
        <v>129</v>
      </c>
      <c r="B130" s="40" t="s">
        <v>30</v>
      </c>
      <c r="C130" s="59" t="s">
        <v>161</v>
      </c>
      <c r="D130" s="34">
        <f t="shared" si="39"/>
        <v>24</v>
      </c>
      <c r="E130" s="35">
        <v>20</v>
      </c>
      <c r="F130" s="36">
        <v>4</v>
      </c>
      <c r="G130" s="37">
        <v>16</v>
      </c>
      <c r="H130" s="35">
        <f>1378+78</f>
        <v>1456</v>
      </c>
      <c r="I130" s="35">
        <f>1619+80</f>
        <v>1699</v>
      </c>
      <c r="J130" s="64">
        <f t="shared" si="41"/>
        <v>72.8</v>
      </c>
      <c r="K130" s="64">
        <f t="shared" si="42"/>
        <v>84.95</v>
      </c>
      <c r="L130" s="67">
        <f t="shared" si="40"/>
        <v>-243</v>
      </c>
    </row>
    <row r="131" spans="1:12" ht="16.5">
      <c r="A131" s="13">
        <f t="shared" si="38"/>
        <v>130</v>
      </c>
      <c r="B131" s="40" t="s">
        <v>9</v>
      </c>
      <c r="C131" s="58" t="s">
        <v>97</v>
      </c>
      <c r="D131" s="34">
        <f t="shared" si="39"/>
        <v>24</v>
      </c>
      <c r="E131" s="35">
        <v>20</v>
      </c>
      <c r="F131" s="36">
        <v>4</v>
      </c>
      <c r="G131" s="37">
        <v>16</v>
      </c>
      <c r="H131" s="35">
        <f>1375+45</f>
        <v>1420</v>
      </c>
      <c r="I131" s="35">
        <f>1633+88</f>
        <v>1721</v>
      </c>
      <c r="J131" s="64">
        <f>H131/E131</f>
        <v>71</v>
      </c>
      <c r="K131" s="64">
        <f>I131/E131</f>
        <v>86.05</v>
      </c>
      <c r="L131" s="67">
        <f>H131-I131</f>
        <v>-301</v>
      </c>
    </row>
    <row r="132" spans="1:12" ht="16.5">
      <c r="A132" s="13">
        <f aca="true" t="shared" si="43" ref="A132:A145">A131+1</f>
        <v>131</v>
      </c>
      <c r="B132" s="40" t="s">
        <v>36</v>
      </c>
      <c r="C132" s="59" t="s">
        <v>121</v>
      </c>
      <c r="D132" s="34">
        <f t="shared" si="39"/>
        <v>23</v>
      </c>
      <c r="E132" s="35">
        <v>20</v>
      </c>
      <c r="F132" s="36">
        <v>3</v>
      </c>
      <c r="G132" s="37">
        <v>17</v>
      </c>
      <c r="H132" s="35">
        <f>1526+91</f>
        <v>1617</v>
      </c>
      <c r="I132" s="35">
        <f>1750+101</f>
        <v>1851</v>
      </c>
      <c r="J132" s="64">
        <f>H132/E132</f>
        <v>80.85</v>
      </c>
      <c r="K132" s="64">
        <f>I132/E132</f>
        <v>92.55</v>
      </c>
      <c r="L132" s="67">
        <f aca="true" t="shared" si="44" ref="L132:L143">H132-I132</f>
        <v>-234</v>
      </c>
    </row>
    <row r="133" spans="1:12" ht="16.5">
      <c r="A133" s="13">
        <f t="shared" si="43"/>
        <v>132</v>
      </c>
      <c r="B133" s="25" t="s">
        <v>38</v>
      </c>
      <c r="C133" s="59" t="s">
        <v>148</v>
      </c>
      <c r="D133" s="34">
        <f t="shared" si="39"/>
        <v>23</v>
      </c>
      <c r="E133" s="35">
        <v>20</v>
      </c>
      <c r="F133" s="36">
        <v>3</v>
      </c>
      <c r="G133" s="37">
        <v>17</v>
      </c>
      <c r="H133" s="35">
        <f>1329+81</f>
        <v>1410</v>
      </c>
      <c r="I133" s="35">
        <f>1556+102</f>
        <v>1658</v>
      </c>
      <c r="J133" s="64">
        <f aca="true" t="shared" si="45" ref="J133:J143">H133/E133</f>
        <v>70.5</v>
      </c>
      <c r="K133" s="64">
        <f aca="true" t="shared" si="46" ref="K133:K143">I133/E133</f>
        <v>82.9</v>
      </c>
      <c r="L133" s="67">
        <f>H133-I133</f>
        <v>-248</v>
      </c>
    </row>
    <row r="134" spans="1:12" ht="16.5">
      <c r="A134" s="13">
        <f t="shared" si="43"/>
        <v>133</v>
      </c>
      <c r="B134" s="40" t="s">
        <v>15</v>
      </c>
      <c r="C134" s="61" t="s">
        <v>94</v>
      </c>
      <c r="D134" s="45">
        <f t="shared" si="39"/>
        <v>23</v>
      </c>
      <c r="E134" s="46">
        <v>20</v>
      </c>
      <c r="F134" s="47">
        <v>3</v>
      </c>
      <c r="G134" s="48">
        <v>17</v>
      </c>
      <c r="H134" s="46">
        <f>1288+69</f>
        <v>1357</v>
      </c>
      <c r="I134" s="46">
        <f>1566+56</f>
        <v>1622</v>
      </c>
      <c r="J134" s="64">
        <f t="shared" si="45"/>
        <v>67.85</v>
      </c>
      <c r="K134" s="64">
        <f t="shared" si="46"/>
        <v>81.1</v>
      </c>
      <c r="L134" s="67">
        <f t="shared" si="44"/>
        <v>-265</v>
      </c>
    </row>
    <row r="135" spans="1:12" ht="16.5">
      <c r="A135" s="13">
        <f t="shared" si="43"/>
        <v>134</v>
      </c>
      <c r="B135" s="40" t="s">
        <v>48</v>
      </c>
      <c r="C135" s="58" t="s">
        <v>102</v>
      </c>
      <c r="D135" s="34">
        <f t="shared" si="39"/>
        <v>23</v>
      </c>
      <c r="E135" s="35">
        <v>20</v>
      </c>
      <c r="F135" s="36">
        <v>3</v>
      </c>
      <c r="G135" s="37">
        <v>17</v>
      </c>
      <c r="H135" s="35">
        <f>1253+63</f>
        <v>1316</v>
      </c>
      <c r="I135" s="35">
        <f>1495+95</f>
        <v>1590</v>
      </c>
      <c r="J135" s="64">
        <f t="shared" si="45"/>
        <v>65.8</v>
      </c>
      <c r="K135" s="64">
        <f t="shared" si="46"/>
        <v>79.5</v>
      </c>
      <c r="L135" s="67">
        <f t="shared" si="44"/>
        <v>-274</v>
      </c>
    </row>
    <row r="136" spans="1:12" ht="16.5">
      <c r="A136" s="13">
        <f t="shared" si="43"/>
        <v>135</v>
      </c>
      <c r="B136" s="40" t="s">
        <v>26</v>
      </c>
      <c r="C136" s="59" t="s">
        <v>75</v>
      </c>
      <c r="D136" s="34">
        <f t="shared" si="39"/>
        <v>23</v>
      </c>
      <c r="E136" s="35">
        <v>20</v>
      </c>
      <c r="F136" s="36">
        <v>3</v>
      </c>
      <c r="G136" s="37">
        <v>17</v>
      </c>
      <c r="H136" s="35">
        <f>1323+65</f>
        <v>1388</v>
      </c>
      <c r="I136" s="35">
        <f>1577+98</f>
        <v>1675</v>
      </c>
      <c r="J136" s="64">
        <f t="shared" si="45"/>
        <v>69.4</v>
      </c>
      <c r="K136" s="64">
        <f t="shared" si="46"/>
        <v>83.75</v>
      </c>
      <c r="L136" s="67">
        <f t="shared" si="44"/>
        <v>-287</v>
      </c>
    </row>
    <row r="137" spans="1:12" ht="16.5">
      <c r="A137" s="13">
        <f t="shared" si="43"/>
        <v>136</v>
      </c>
      <c r="B137" s="40" t="s">
        <v>47</v>
      </c>
      <c r="C137" s="17" t="s">
        <v>49</v>
      </c>
      <c r="D137" s="34">
        <f t="shared" si="39"/>
        <v>23</v>
      </c>
      <c r="E137" s="35">
        <v>20</v>
      </c>
      <c r="F137" s="36">
        <v>3</v>
      </c>
      <c r="G137" s="37">
        <v>17</v>
      </c>
      <c r="H137" s="35">
        <f>1397+67</f>
        <v>1464</v>
      </c>
      <c r="I137" s="35">
        <f>1679+83</f>
        <v>1762</v>
      </c>
      <c r="J137" s="64">
        <f t="shared" si="45"/>
        <v>73.2</v>
      </c>
      <c r="K137" s="64">
        <f t="shared" si="46"/>
        <v>88.1</v>
      </c>
      <c r="L137" s="67">
        <f t="shared" si="44"/>
        <v>-298</v>
      </c>
    </row>
    <row r="138" spans="1:12" ht="16.5">
      <c r="A138" s="13">
        <f t="shared" si="43"/>
        <v>137</v>
      </c>
      <c r="B138" s="40" t="s">
        <v>19</v>
      </c>
      <c r="C138" s="60" t="s">
        <v>89</v>
      </c>
      <c r="D138" s="34">
        <f t="shared" si="39"/>
        <v>23</v>
      </c>
      <c r="E138" s="35">
        <v>20</v>
      </c>
      <c r="F138" s="36">
        <v>3</v>
      </c>
      <c r="G138" s="37">
        <v>17</v>
      </c>
      <c r="H138" s="35">
        <f>1422+88</f>
        <v>1510</v>
      </c>
      <c r="I138" s="35">
        <f>1749+83</f>
        <v>1832</v>
      </c>
      <c r="J138" s="64">
        <f t="shared" si="45"/>
        <v>75.5</v>
      </c>
      <c r="K138" s="64">
        <f t="shared" si="46"/>
        <v>91.6</v>
      </c>
      <c r="L138" s="67">
        <f t="shared" si="44"/>
        <v>-322</v>
      </c>
    </row>
    <row r="139" spans="1:12" ht="16.5">
      <c r="A139" s="13">
        <f t="shared" si="43"/>
        <v>138</v>
      </c>
      <c r="B139" s="40" t="s">
        <v>34</v>
      </c>
      <c r="C139" s="17" t="s">
        <v>39</v>
      </c>
      <c r="D139" s="34">
        <f t="shared" si="39"/>
        <v>22</v>
      </c>
      <c r="E139" s="35">
        <v>20</v>
      </c>
      <c r="F139" s="36">
        <v>2</v>
      </c>
      <c r="G139" s="37">
        <v>18</v>
      </c>
      <c r="H139" s="35">
        <f>1307+76</f>
        <v>1383</v>
      </c>
      <c r="I139" s="35">
        <f>1504+83</f>
        <v>1587</v>
      </c>
      <c r="J139" s="64">
        <f t="shared" si="45"/>
        <v>69.15</v>
      </c>
      <c r="K139" s="64">
        <f t="shared" si="46"/>
        <v>79.35</v>
      </c>
      <c r="L139" s="67">
        <f t="shared" si="44"/>
        <v>-204</v>
      </c>
    </row>
    <row r="140" spans="1:12" ht="16.5">
      <c r="A140" s="13">
        <f t="shared" si="43"/>
        <v>139</v>
      </c>
      <c r="B140" s="40" t="s">
        <v>47</v>
      </c>
      <c r="C140" s="66" t="s">
        <v>108</v>
      </c>
      <c r="D140" s="34">
        <f t="shared" si="39"/>
        <v>22</v>
      </c>
      <c r="E140" s="35">
        <v>20</v>
      </c>
      <c r="F140" s="36">
        <v>2</v>
      </c>
      <c r="G140" s="37">
        <v>18</v>
      </c>
      <c r="H140" s="35">
        <f>1426+76</f>
        <v>1502</v>
      </c>
      <c r="I140" s="35">
        <v>1815</v>
      </c>
      <c r="J140" s="64">
        <f t="shared" si="45"/>
        <v>75.1</v>
      </c>
      <c r="K140" s="64">
        <f t="shared" si="46"/>
        <v>90.75</v>
      </c>
      <c r="L140" s="67">
        <f t="shared" si="44"/>
        <v>-313</v>
      </c>
    </row>
    <row r="141" spans="1:12" ht="16.5">
      <c r="A141" s="13">
        <f t="shared" si="43"/>
        <v>140</v>
      </c>
      <c r="B141" s="40" t="s">
        <v>48</v>
      </c>
      <c r="C141" s="59" t="s">
        <v>103</v>
      </c>
      <c r="D141" s="34">
        <f t="shared" si="39"/>
        <v>22</v>
      </c>
      <c r="E141" s="35">
        <v>20</v>
      </c>
      <c r="F141" s="36">
        <v>2</v>
      </c>
      <c r="G141" s="37">
        <v>18</v>
      </c>
      <c r="H141" s="35">
        <f>1299+77</f>
        <v>1376</v>
      </c>
      <c r="I141" s="35">
        <f>1696+80</f>
        <v>1776</v>
      </c>
      <c r="J141" s="64">
        <f t="shared" si="45"/>
        <v>68.8</v>
      </c>
      <c r="K141" s="64">
        <f t="shared" si="46"/>
        <v>88.8</v>
      </c>
      <c r="L141" s="67">
        <f t="shared" si="44"/>
        <v>-400</v>
      </c>
    </row>
    <row r="142" spans="1:12" ht="16.5">
      <c r="A142" s="13">
        <f t="shared" si="43"/>
        <v>141</v>
      </c>
      <c r="B142" s="40" t="s">
        <v>42</v>
      </c>
      <c r="C142" s="60" t="s">
        <v>142</v>
      </c>
      <c r="D142" s="34">
        <f t="shared" si="39"/>
        <v>21</v>
      </c>
      <c r="E142" s="35">
        <v>20</v>
      </c>
      <c r="F142" s="36">
        <v>1</v>
      </c>
      <c r="G142" s="37">
        <v>19</v>
      </c>
      <c r="H142" s="35">
        <f>1332+74</f>
        <v>1406</v>
      </c>
      <c r="I142" s="35">
        <f>1645+104</f>
        <v>1749</v>
      </c>
      <c r="J142" s="64">
        <f t="shared" si="45"/>
        <v>70.3</v>
      </c>
      <c r="K142" s="64">
        <f t="shared" si="46"/>
        <v>87.45</v>
      </c>
      <c r="L142" s="67">
        <f t="shared" si="44"/>
        <v>-343</v>
      </c>
    </row>
    <row r="143" spans="1:12" ht="16.5">
      <c r="A143" s="13">
        <f t="shared" si="43"/>
        <v>142</v>
      </c>
      <c r="B143" s="40" t="s">
        <v>9</v>
      </c>
      <c r="C143" s="59" t="s">
        <v>98</v>
      </c>
      <c r="D143" s="34">
        <f t="shared" si="39"/>
        <v>21</v>
      </c>
      <c r="E143" s="35">
        <v>20</v>
      </c>
      <c r="F143" s="36">
        <v>1</v>
      </c>
      <c r="G143" s="37">
        <v>19</v>
      </c>
      <c r="H143" s="35">
        <f>1337+53</f>
        <v>1390</v>
      </c>
      <c r="I143" s="35">
        <f>1678+83</f>
        <v>1761</v>
      </c>
      <c r="J143" s="64">
        <f t="shared" si="45"/>
        <v>69.5</v>
      </c>
      <c r="K143" s="64">
        <f t="shared" si="46"/>
        <v>88.05</v>
      </c>
      <c r="L143" s="67">
        <f t="shared" si="44"/>
        <v>-371</v>
      </c>
    </row>
    <row r="144" spans="1:12" ht="16.5">
      <c r="A144" s="13">
        <f t="shared" si="43"/>
        <v>143</v>
      </c>
      <c r="B144" s="40" t="s">
        <v>22</v>
      </c>
      <c r="C144" s="59" t="s">
        <v>165</v>
      </c>
      <c r="D144" s="34">
        <f t="shared" si="39"/>
        <v>21</v>
      </c>
      <c r="E144" s="35">
        <v>20</v>
      </c>
      <c r="F144" s="36">
        <v>1</v>
      </c>
      <c r="G144" s="37">
        <v>19</v>
      </c>
      <c r="H144" s="35">
        <f>1291+62</f>
        <v>1353</v>
      </c>
      <c r="I144" s="35">
        <f>1652+78</f>
        <v>1730</v>
      </c>
      <c r="J144" s="64">
        <f>H144/E144</f>
        <v>67.65</v>
      </c>
      <c r="K144" s="64">
        <f>I144/E144</f>
        <v>86.5</v>
      </c>
      <c r="L144" s="67">
        <f>H144-I144</f>
        <v>-377</v>
      </c>
    </row>
    <row r="145" spans="1:12" ht="16.5">
      <c r="A145" s="13">
        <f t="shared" si="43"/>
        <v>144</v>
      </c>
      <c r="B145" s="40" t="s">
        <v>34</v>
      </c>
      <c r="C145" s="18" t="s">
        <v>124</v>
      </c>
      <c r="D145" s="34">
        <f t="shared" si="39"/>
        <v>20</v>
      </c>
      <c r="E145" s="35">
        <v>20</v>
      </c>
      <c r="F145" s="36">
        <v>0</v>
      </c>
      <c r="G145" s="37">
        <v>20</v>
      </c>
      <c r="H145" s="35">
        <f>1095+65</f>
        <v>1160</v>
      </c>
      <c r="I145" s="35">
        <f>1750+92</f>
        <v>1842</v>
      </c>
      <c r="J145" s="64">
        <f>H145/E145</f>
        <v>58</v>
      </c>
      <c r="K145" s="64">
        <f>I145/E145</f>
        <v>92.1</v>
      </c>
      <c r="L145" s="67">
        <f>H145-I145</f>
        <v>-682</v>
      </c>
    </row>
    <row r="146" spans="2:12" ht="15.75">
      <c r="B146" s="40"/>
      <c r="C146" s="14"/>
      <c r="D146" s="13"/>
      <c r="E146" s="33"/>
      <c r="F146" s="13"/>
      <c r="G146" s="13"/>
      <c r="H146" s="33"/>
      <c r="I146" s="33"/>
      <c r="J146" s="43"/>
      <c r="K146" s="43"/>
      <c r="L146" s="67"/>
    </row>
    <row r="147" spans="2:12" ht="15.75">
      <c r="B147" s="40"/>
      <c r="C147" s="14"/>
      <c r="D147" s="13"/>
      <c r="E147" s="33"/>
      <c r="F147" s="13"/>
      <c r="G147" s="13"/>
      <c r="H147" s="33"/>
      <c r="I147" s="33"/>
      <c r="J147" s="43"/>
      <c r="K147" s="43"/>
      <c r="L147" s="67"/>
    </row>
    <row r="148" spans="2:12" ht="15.75">
      <c r="B148" s="40"/>
      <c r="C148" s="14"/>
      <c r="D148" s="13"/>
      <c r="E148" s="33"/>
      <c r="F148" s="13"/>
      <c r="G148" s="13"/>
      <c r="H148" s="33"/>
      <c r="I148" s="33"/>
      <c r="J148" s="43"/>
      <c r="K148" s="43"/>
      <c r="L148" s="67"/>
    </row>
    <row r="149" spans="2:12" ht="15.75">
      <c r="B149" s="40"/>
      <c r="C149" s="14"/>
      <c r="D149" s="13"/>
      <c r="E149" s="33"/>
      <c r="F149" s="13"/>
      <c r="G149" s="13"/>
      <c r="H149" s="33"/>
      <c r="I149" s="33"/>
      <c r="J149" s="43"/>
      <c r="K149" s="43"/>
      <c r="L149" s="67"/>
    </row>
    <row r="150" spans="2:12" ht="15.75">
      <c r="B150" s="40"/>
      <c r="C150" s="14"/>
      <c r="D150" s="13"/>
      <c r="E150" s="33"/>
      <c r="F150" s="13"/>
      <c r="G150" s="13"/>
      <c r="H150" s="33"/>
      <c r="I150" s="33"/>
      <c r="J150" s="43"/>
      <c r="K150" s="43"/>
      <c r="L150" s="67"/>
    </row>
    <row r="151" spans="2:12" ht="15.75">
      <c r="B151" s="40"/>
      <c r="C151" s="14"/>
      <c r="D151" s="13"/>
      <c r="E151" s="33"/>
      <c r="F151" s="13"/>
      <c r="G151" s="13"/>
      <c r="H151" s="33"/>
      <c r="I151" s="33"/>
      <c r="J151" s="43"/>
      <c r="K151" s="43"/>
      <c r="L151" s="67"/>
    </row>
    <row r="152" spans="2:12" ht="15.75">
      <c r="B152" s="40"/>
      <c r="C152" s="14"/>
      <c r="D152" s="13"/>
      <c r="E152" s="33"/>
      <c r="F152" s="13"/>
      <c r="G152" s="13"/>
      <c r="H152" s="33"/>
      <c r="I152" s="33"/>
      <c r="J152" s="43"/>
      <c r="K152" s="43"/>
      <c r="L152" s="67"/>
    </row>
    <row r="153" spans="2:12" ht="15.75">
      <c r="B153" s="40"/>
      <c r="C153" s="14"/>
      <c r="D153" s="13"/>
      <c r="E153" s="33"/>
      <c r="F153" s="13"/>
      <c r="G153" s="13"/>
      <c r="H153" s="33"/>
      <c r="I153" s="33"/>
      <c r="J153" s="43"/>
      <c r="K153" s="43"/>
      <c r="L153" s="67"/>
    </row>
    <row r="154" spans="2:12" ht="15.75">
      <c r="B154" s="40"/>
      <c r="C154" s="14"/>
      <c r="D154" s="13"/>
      <c r="E154" s="33"/>
      <c r="F154" s="13"/>
      <c r="G154" s="13"/>
      <c r="H154" s="33"/>
      <c r="I154" s="33"/>
      <c r="J154" s="43"/>
      <c r="K154" s="43"/>
      <c r="L154" s="67"/>
    </row>
    <row r="155" spans="2:12" ht="15.75">
      <c r="B155" s="40"/>
      <c r="C155" s="14"/>
      <c r="D155" s="13"/>
      <c r="E155" s="33"/>
      <c r="F155" s="13"/>
      <c r="G155" s="13"/>
      <c r="H155" s="33"/>
      <c r="I155" s="33"/>
      <c r="J155" s="43"/>
      <c r="K155" s="43"/>
      <c r="L155" s="67"/>
    </row>
    <row r="156" spans="2:12" ht="15.75">
      <c r="B156" s="40"/>
      <c r="C156" s="14"/>
      <c r="D156" s="13"/>
      <c r="E156" s="33"/>
      <c r="F156" s="13"/>
      <c r="G156" s="13"/>
      <c r="H156" s="33"/>
      <c r="I156" s="33"/>
      <c r="J156" s="43"/>
      <c r="K156" s="43"/>
      <c r="L156" s="67"/>
    </row>
  </sheetData>
  <printOptions gridLines="1" horizontalCentered="1" verticalCentered="1"/>
  <pageMargins left="0.7874015748031497" right="0.7874015748031497" top="0.4330708661417323" bottom="0.8661417322834646" header="0.2362204724409449" footer="0.6299212598425197"/>
  <pageSetup horizontalDpi="300" verticalDpi="300" orientation="portrait" paperSize="9" scale="97" r:id="rId1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38"/>
  <sheetViews>
    <sheetView workbookViewId="0" topLeftCell="A1">
      <selection activeCell="A1" sqref="A1"/>
    </sheetView>
  </sheetViews>
  <sheetFormatPr defaultColWidth="11.00390625" defaultRowHeight="15.75"/>
  <cols>
    <col min="1" max="1" width="5.25390625" style="4" customWidth="1"/>
    <col min="2" max="2" width="17.25390625" style="0" customWidth="1"/>
    <col min="3" max="3" width="5.75390625" style="0" customWidth="1"/>
    <col min="4" max="4" width="7.00390625" style="0" customWidth="1"/>
    <col min="5" max="5" width="7.75390625" style="0" customWidth="1"/>
    <col min="6" max="6" width="4.25390625" style="0" customWidth="1"/>
    <col min="7" max="7" width="7.00390625" style="0" customWidth="1"/>
    <col min="8" max="8" width="6.875" style="0" customWidth="1"/>
    <col min="9" max="9" width="8.625" style="0" customWidth="1"/>
    <col min="10" max="10" width="9.25390625" style="0" customWidth="1"/>
    <col min="11" max="11" width="5.125" style="0" bestFit="1" customWidth="1"/>
    <col min="12" max="12" width="5.375" style="0" customWidth="1"/>
  </cols>
  <sheetData>
    <row r="1" spans="1:12" ht="29.25" customHeight="1">
      <c r="A1" s="7" t="s">
        <v>0</v>
      </c>
      <c r="B1" s="6" t="s">
        <v>166</v>
      </c>
      <c r="C1" s="9" t="s">
        <v>1</v>
      </c>
      <c r="D1" s="9" t="s">
        <v>52</v>
      </c>
      <c r="E1" s="9" t="s">
        <v>2</v>
      </c>
      <c r="F1" s="9" t="s">
        <v>3</v>
      </c>
      <c r="G1" s="8" t="s">
        <v>4</v>
      </c>
      <c r="H1" s="8" t="s">
        <v>5</v>
      </c>
      <c r="I1" s="8" t="s">
        <v>6</v>
      </c>
      <c r="J1" s="8" t="s">
        <v>7</v>
      </c>
      <c r="K1" s="5" t="s">
        <v>8</v>
      </c>
      <c r="L1" s="5"/>
    </row>
    <row r="2" spans="1:11" ht="15.75">
      <c r="A2" s="33" t="s">
        <v>48</v>
      </c>
      <c r="B2" s="16" t="s">
        <v>99</v>
      </c>
      <c r="C2" s="34">
        <v>36</v>
      </c>
      <c r="D2" s="35">
        <v>20</v>
      </c>
      <c r="E2" s="36">
        <v>16</v>
      </c>
      <c r="F2" s="37">
        <v>4</v>
      </c>
      <c r="G2" s="35">
        <v>1693</v>
      </c>
      <c r="H2" s="35">
        <v>1476</v>
      </c>
      <c r="I2" s="64">
        <v>84.65</v>
      </c>
      <c r="J2" s="64">
        <v>73.8</v>
      </c>
      <c r="K2" s="65">
        <v>217</v>
      </c>
    </row>
    <row r="3" spans="1:11" ht="15.75">
      <c r="A3" s="40" t="s">
        <v>48</v>
      </c>
      <c r="B3" s="53" t="s">
        <v>100</v>
      </c>
      <c r="C3" s="34">
        <v>31</v>
      </c>
      <c r="D3" s="35">
        <v>20</v>
      </c>
      <c r="E3" s="36">
        <v>11</v>
      </c>
      <c r="F3" s="37">
        <v>9</v>
      </c>
      <c r="G3" s="35">
        <v>1538</v>
      </c>
      <c r="H3" s="35">
        <v>1463</v>
      </c>
      <c r="I3" s="64">
        <v>76.9</v>
      </c>
      <c r="J3" s="64">
        <v>73.15</v>
      </c>
      <c r="K3" s="65">
        <v>75</v>
      </c>
    </row>
    <row r="4" spans="1:12" ht="15.75">
      <c r="A4" s="40" t="s">
        <v>15</v>
      </c>
      <c r="B4" s="22" t="s">
        <v>16</v>
      </c>
      <c r="C4" s="45">
        <v>31</v>
      </c>
      <c r="D4" s="46">
        <v>20</v>
      </c>
      <c r="E4" s="47">
        <v>11</v>
      </c>
      <c r="F4" s="48">
        <v>9</v>
      </c>
      <c r="G4" s="46">
        <v>1606</v>
      </c>
      <c r="H4" s="46">
        <v>1562</v>
      </c>
      <c r="I4" s="64">
        <v>80.3</v>
      </c>
      <c r="J4" s="64">
        <v>78.1</v>
      </c>
      <c r="K4" s="65">
        <v>44</v>
      </c>
      <c r="L4" s="1"/>
    </row>
    <row r="5" spans="1:11" ht="15.75">
      <c r="A5" s="40" t="s">
        <v>15</v>
      </c>
      <c r="B5" s="22" t="s">
        <v>91</v>
      </c>
      <c r="C5" s="45">
        <v>31</v>
      </c>
      <c r="D5" s="46">
        <v>20</v>
      </c>
      <c r="E5" s="47">
        <v>11</v>
      </c>
      <c r="F5" s="48">
        <v>9</v>
      </c>
      <c r="G5" s="46">
        <v>1564</v>
      </c>
      <c r="H5" s="46">
        <v>1559</v>
      </c>
      <c r="I5" s="64">
        <v>78.2</v>
      </c>
      <c r="J5" s="64">
        <v>77.95</v>
      </c>
      <c r="K5" s="65">
        <v>5</v>
      </c>
    </row>
    <row r="6" spans="1:11" ht="15.75">
      <c r="A6" s="40" t="s">
        <v>47</v>
      </c>
      <c r="B6" s="14" t="s">
        <v>107</v>
      </c>
      <c r="C6" s="34">
        <v>30</v>
      </c>
      <c r="D6" s="35">
        <v>20</v>
      </c>
      <c r="E6" s="36">
        <v>10</v>
      </c>
      <c r="F6" s="37">
        <v>10</v>
      </c>
      <c r="G6" s="35">
        <v>1708</v>
      </c>
      <c r="H6" s="35">
        <v>1694</v>
      </c>
      <c r="I6" s="64">
        <v>85.4</v>
      </c>
      <c r="J6" s="64">
        <v>84.7</v>
      </c>
      <c r="K6" s="65">
        <v>14</v>
      </c>
    </row>
    <row r="7" spans="1:11" ht="15.75">
      <c r="A7" s="40" t="s">
        <v>47</v>
      </c>
      <c r="B7" s="52" t="s">
        <v>105</v>
      </c>
      <c r="C7" s="34">
        <v>30</v>
      </c>
      <c r="D7" s="35">
        <v>20</v>
      </c>
      <c r="E7" s="36">
        <v>10</v>
      </c>
      <c r="F7" s="37">
        <v>10</v>
      </c>
      <c r="G7" s="35">
        <v>1545</v>
      </c>
      <c r="H7" s="35">
        <v>1555</v>
      </c>
      <c r="I7" s="64">
        <v>77.25</v>
      </c>
      <c r="J7" s="64">
        <v>77.75</v>
      </c>
      <c r="K7" s="65">
        <v>-10</v>
      </c>
    </row>
    <row r="8" spans="1:11" ht="15.75">
      <c r="A8" s="40" t="s">
        <v>15</v>
      </c>
      <c r="B8" s="22" t="s">
        <v>130</v>
      </c>
      <c r="C8" s="45">
        <v>28</v>
      </c>
      <c r="D8" s="46">
        <v>20</v>
      </c>
      <c r="E8" s="47">
        <v>8</v>
      </c>
      <c r="F8" s="48">
        <v>12</v>
      </c>
      <c r="G8" s="46">
        <v>1668</v>
      </c>
      <c r="H8" s="46">
        <v>1756</v>
      </c>
      <c r="I8" s="64">
        <v>83.4</v>
      </c>
      <c r="J8" s="64">
        <v>87.8</v>
      </c>
      <c r="K8" s="65">
        <v>-88</v>
      </c>
    </row>
    <row r="9" spans="1:11" ht="15.75">
      <c r="A9" s="40" t="s">
        <v>15</v>
      </c>
      <c r="B9" s="55" t="s">
        <v>93</v>
      </c>
      <c r="C9" s="45">
        <v>28</v>
      </c>
      <c r="D9" s="46">
        <v>20</v>
      </c>
      <c r="E9" s="47">
        <v>8</v>
      </c>
      <c r="F9" s="48">
        <v>12</v>
      </c>
      <c r="G9" s="46">
        <v>1509</v>
      </c>
      <c r="H9" s="46">
        <v>1622</v>
      </c>
      <c r="I9" s="64">
        <v>75.45</v>
      </c>
      <c r="J9" s="64">
        <v>81.1</v>
      </c>
      <c r="K9" s="65">
        <v>-113</v>
      </c>
    </row>
    <row r="10" spans="1:11" ht="16.5">
      <c r="A10" s="40" t="s">
        <v>15</v>
      </c>
      <c r="B10" s="24" t="s">
        <v>68</v>
      </c>
      <c r="C10" s="45">
        <v>26</v>
      </c>
      <c r="D10" s="46">
        <v>20</v>
      </c>
      <c r="E10" s="47">
        <v>6</v>
      </c>
      <c r="F10" s="48">
        <v>14</v>
      </c>
      <c r="G10" s="46">
        <v>1512</v>
      </c>
      <c r="H10" s="46">
        <v>1613</v>
      </c>
      <c r="I10" s="64">
        <v>75.6</v>
      </c>
      <c r="J10" s="64">
        <v>80.65</v>
      </c>
      <c r="K10" s="65">
        <v>-101</v>
      </c>
    </row>
    <row r="11" spans="1:11" ht="16.5">
      <c r="A11" s="40" t="s">
        <v>48</v>
      </c>
      <c r="B11" s="58" t="s">
        <v>102</v>
      </c>
      <c r="C11" s="34">
        <v>23</v>
      </c>
      <c r="D11" s="35">
        <v>20</v>
      </c>
      <c r="E11" s="36">
        <v>3</v>
      </c>
      <c r="F11" s="37">
        <v>17</v>
      </c>
      <c r="G11" s="35">
        <v>1316</v>
      </c>
      <c r="H11" s="35">
        <v>1590</v>
      </c>
      <c r="I11" s="64">
        <v>65.8</v>
      </c>
      <c r="J11" s="64">
        <v>79.5</v>
      </c>
      <c r="K11" s="65">
        <v>-274</v>
      </c>
    </row>
    <row r="12" spans="1:11" ht="16.5">
      <c r="A12" s="40" t="s">
        <v>47</v>
      </c>
      <c r="B12" s="17" t="s">
        <v>49</v>
      </c>
      <c r="C12" s="34">
        <v>23</v>
      </c>
      <c r="D12" s="35">
        <v>20</v>
      </c>
      <c r="E12" s="36">
        <v>3</v>
      </c>
      <c r="F12" s="37">
        <v>17</v>
      </c>
      <c r="G12" s="35">
        <v>1464</v>
      </c>
      <c r="H12" s="35">
        <v>1762</v>
      </c>
      <c r="I12" s="64">
        <v>73.2</v>
      </c>
      <c r="J12" s="64">
        <v>88.1</v>
      </c>
      <c r="K12" s="65">
        <v>-298</v>
      </c>
    </row>
    <row r="13" spans="3:11" ht="15.75">
      <c r="C13" s="2"/>
      <c r="D13" s="2"/>
      <c r="E13" s="2"/>
      <c r="F13" s="2"/>
      <c r="G13" s="2"/>
      <c r="H13" s="2"/>
      <c r="I13" s="2"/>
      <c r="J13" s="2"/>
      <c r="K13" s="2"/>
    </row>
    <row r="14" spans="1:5" ht="30">
      <c r="A14" s="7" t="s">
        <v>0</v>
      </c>
      <c r="B14" s="6" t="s">
        <v>166</v>
      </c>
      <c r="C14" s="9" t="s">
        <v>52</v>
      </c>
      <c r="D14" s="8" t="s">
        <v>4</v>
      </c>
      <c r="E14" s="20" t="s">
        <v>6</v>
      </c>
    </row>
    <row r="15" spans="1:5" ht="15.75">
      <c r="A15" s="40" t="s">
        <v>47</v>
      </c>
      <c r="B15" s="14" t="s">
        <v>107</v>
      </c>
      <c r="C15" s="35">
        <v>20</v>
      </c>
      <c r="D15" s="35">
        <v>1708</v>
      </c>
      <c r="E15" s="62">
        <f aca="true" t="shared" si="0" ref="E15:E25">D15/C15</f>
        <v>85.4</v>
      </c>
    </row>
    <row r="16" spans="1:5" ht="15.75">
      <c r="A16" s="33" t="s">
        <v>48</v>
      </c>
      <c r="B16" s="16" t="s">
        <v>99</v>
      </c>
      <c r="C16" s="35">
        <v>20</v>
      </c>
      <c r="D16" s="35">
        <v>1693</v>
      </c>
      <c r="E16" s="62">
        <f>D16/C16</f>
        <v>84.65</v>
      </c>
    </row>
    <row r="17" spans="1:5" ht="15.75">
      <c r="A17" s="40" t="s">
        <v>15</v>
      </c>
      <c r="B17" s="22" t="s">
        <v>130</v>
      </c>
      <c r="C17" s="46">
        <v>20</v>
      </c>
      <c r="D17" s="46">
        <v>1668</v>
      </c>
      <c r="E17" s="62">
        <f t="shared" si="0"/>
        <v>83.4</v>
      </c>
    </row>
    <row r="18" spans="1:5" ht="15.75">
      <c r="A18" s="40" t="s">
        <v>15</v>
      </c>
      <c r="B18" s="22" t="s">
        <v>16</v>
      </c>
      <c r="C18" s="46">
        <v>20</v>
      </c>
      <c r="D18" s="46">
        <v>1606</v>
      </c>
      <c r="E18" s="62">
        <f t="shared" si="0"/>
        <v>80.3</v>
      </c>
    </row>
    <row r="19" spans="1:5" ht="15.75">
      <c r="A19" s="40" t="s">
        <v>15</v>
      </c>
      <c r="B19" s="22" t="s">
        <v>91</v>
      </c>
      <c r="C19" s="46">
        <v>20</v>
      </c>
      <c r="D19" s="46">
        <v>1564</v>
      </c>
      <c r="E19" s="62">
        <f t="shared" si="0"/>
        <v>78.2</v>
      </c>
    </row>
    <row r="20" spans="1:5" ht="15.75">
      <c r="A20" s="40" t="s">
        <v>47</v>
      </c>
      <c r="B20" s="52" t="s">
        <v>105</v>
      </c>
      <c r="C20" s="35">
        <v>20</v>
      </c>
      <c r="D20" s="35">
        <v>1545</v>
      </c>
      <c r="E20" s="62">
        <f t="shared" si="0"/>
        <v>77.25</v>
      </c>
    </row>
    <row r="21" spans="1:5" ht="15.75">
      <c r="A21" s="40" t="s">
        <v>48</v>
      </c>
      <c r="B21" s="53" t="s">
        <v>100</v>
      </c>
      <c r="C21" s="35">
        <v>20</v>
      </c>
      <c r="D21" s="35">
        <v>1538</v>
      </c>
      <c r="E21" s="62">
        <f t="shared" si="0"/>
        <v>76.9</v>
      </c>
    </row>
    <row r="22" spans="1:5" ht="16.5">
      <c r="A22" s="40" t="s">
        <v>15</v>
      </c>
      <c r="B22" s="24" t="s">
        <v>68</v>
      </c>
      <c r="C22" s="46">
        <v>20</v>
      </c>
      <c r="D22" s="46">
        <v>1512</v>
      </c>
      <c r="E22" s="62">
        <f t="shared" si="0"/>
        <v>75.6</v>
      </c>
    </row>
    <row r="23" spans="1:5" ht="15.75">
      <c r="A23" s="40" t="s">
        <v>15</v>
      </c>
      <c r="B23" s="55" t="s">
        <v>93</v>
      </c>
      <c r="C23" s="46">
        <v>20</v>
      </c>
      <c r="D23" s="46">
        <v>1509</v>
      </c>
      <c r="E23" s="62">
        <f t="shared" si="0"/>
        <v>75.45</v>
      </c>
    </row>
    <row r="24" spans="1:5" ht="16.5">
      <c r="A24" s="40" t="s">
        <v>47</v>
      </c>
      <c r="B24" s="17" t="s">
        <v>49</v>
      </c>
      <c r="C24" s="35">
        <v>20</v>
      </c>
      <c r="D24" s="35">
        <v>1464</v>
      </c>
      <c r="E24" s="62">
        <f t="shared" si="0"/>
        <v>73.2</v>
      </c>
    </row>
    <row r="25" spans="1:5" ht="16.5">
      <c r="A25" s="40" t="s">
        <v>48</v>
      </c>
      <c r="B25" s="58" t="s">
        <v>102</v>
      </c>
      <c r="C25" s="35">
        <v>20</v>
      </c>
      <c r="D25" s="35">
        <v>1316</v>
      </c>
      <c r="E25" s="62">
        <f t="shared" si="0"/>
        <v>65.8</v>
      </c>
    </row>
    <row r="26" spans="7:8" ht="15.75">
      <c r="G26" s="2"/>
      <c r="H26" s="2"/>
    </row>
    <row r="27" spans="1:6" ht="30">
      <c r="A27" s="7" t="s">
        <v>0</v>
      </c>
      <c r="B27" s="6" t="s">
        <v>166</v>
      </c>
      <c r="C27" s="9" t="s">
        <v>52</v>
      </c>
      <c r="D27" s="8" t="s">
        <v>5</v>
      </c>
      <c r="E27" s="20" t="s">
        <v>7</v>
      </c>
      <c r="F27" s="5"/>
    </row>
    <row r="28" spans="1:6" ht="15.75">
      <c r="A28" s="40" t="s">
        <v>48</v>
      </c>
      <c r="B28" s="53" t="s">
        <v>100</v>
      </c>
      <c r="C28" s="35">
        <v>20</v>
      </c>
      <c r="D28" s="35">
        <v>1463</v>
      </c>
      <c r="E28" s="21">
        <f aca="true" t="shared" si="1" ref="E28:E38">D28/C28</f>
        <v>73.15</v>
      </c>
      <c r="F28" s="3"/>
    </row>
    <row r="29" spans="1:6" ht="15.75">
      <c r="A29" s="33" t="s">
        <v>48</v>
      </c>
      <c r="B29" s="16" t="s">
        <v>99</v>
      </c>
      <c r="C29" s="35">
        <v>20</v>
      </c>
      <c r="D29" s="35">
        <v>1476</v>
      </c>
      <c r="E29" s="21">
        <f>D29/C29</f>
        <v>73.8</v>
      </c>
      <c r="F29" s="3"/>
    </row>
    <row r="30" spans="1:6" ht="15.75">
      <c r="A30" s="40" t="s">
        <v>47</v>
      </c>
      <c r="B30" s="52" t="s">
        <v>105</v>
      </c>
      <c r="C30" s="35">
        <v>20</v>
      </c>
      <c r="D30" s="35">
        <v>1555</v>
      </c>
      <c r="E30" s="21">
        <f t="shared" si="1"/>
        <v>77.75</v>
      </c>
      <c r="F30" s="3"/>
    </row>
    <row r="31" spans="1:6" ht="15.75">
      <c r="A31" s="40" t="s">
        <v>15</v>
      </c>
      <c r="B31" s="22" t="s">
        <v>91</v>
      </c>
      <c r="C31" s="46">
        <v>20</v>
      </c>
      <c r="D31" s="46">
        <v>1559</v>
      </c>
      <c r="E31" s="21">
        <f t="shared" si="1"/>
        <v>77.95</v>
      </c>
      <c r="F31" s="3"/>
    </row>
    <row r="32" spans="1:6" ht="15.75">
      <c r="A32" s="40" t="s">
        <v>15</v>
      </c>
      <c r="B32" s="22" t="s">
        <v>16</v>
      </c>
      <c r="C32" s="46">
        <v>20</v>
      </c>
      <c r="D32" s="46">
        <v>1562</v>
      </c>
      <c r="E32" s="21">
        <f t="shared" si="1"/>
        <v>78.1</v>
      </c>
      <c r="F32" s="3"/>
    </row>
    <row r="33" spans="1:6" ht="16.5">
      <c r="A33" s="40" t="s">
        <v>48</v>
      </c>
      <c r="B33" s="58" t="s">
        <v>102</v>
      </c>
      <c r="C33" s="35">
        <v>20</v>
      </c>
      <c r="D33" s="35">
        <v>1590</v>
      </c>
      <c r="E33" s="21">
        <f t="shared" si="1"/>
        <v>79.5</v>
      </c>
      <c r="F33" s="3"/>
    </row>
    <row r="34" spans="1:6" ht="16.5">
      <c r="A34" s="40" t="s">
        <v>15</v>
      </c>
      <c r="B34" s="24" t="s">
        <v>68</v>
      </c>
      <c r="C34" s="46">
        <v>20</v>
      </c>
      <c r="D34" s="46">
        <v>1613</v>
      </c>
      <c r="E34" s="21">
        <f t="shared" si="1"/>
        <v>80.65</v>
      </c>
      <c r="F34" s="3"/>
    </row>
    <row r="35" spans="1:6" ht="15.75">
      <c r="A35" s="40" t="s">
        <v>15</v>
      </c>
      <c r="B35" s="55" t="s">
        <v>93</v>
      </c>
      <c r="C35" s="46">
        <v>20</v>
      </c>
      <c r="D35" s="46">
        <v>1622</v>
      </c>
      <c r="E35" s="21">
        <f t="shared" si="1"/>
        <v>81.1</v>
      </c>
      <c r="F35" s="3"/>
    </row>
    <row r="36" spans="1:6" ht="15.75">
      <c r="A36" s="40" t="s">
        <v>47</v>
      </c>
      <c r="B36" s="14" t="s">
        <v>107</v>
      </c>
      <c r="C36" s="35">
        <v>20</v>
      </c>
      <c r="D36" s="35">
        <v>1694</v>
      </c>
      <c r="E36" s="21">
        <f t="shared" si="1"/>
        <v>84.7</v>
      </c>
      <c r="F36" s="3"/>
    </row>
    <row r="37" spans="1:6" ht="15.75">
      <c r="A37" s="40" t="s">
        <v>15</v>
      </c>
      <c r="B37" s="22" t="s">
        <v>130</v>
      </c>
      <c r="C37" s="46">
        <v>20</v>
      </c>
      <c r="D37" s="46">
        <v>1756</v>
      </c>
      <c r="E37" s="21">
        <f t="shared" si="1"/>
        <v>87.8</v>
      </c>
      <c r="F37" s="3"/>
    </row>
    <row r="38" spans="1:6" ht="16.5">
      <c r="A38" s="40" t="s">
        <v>47</v>
      </c>
      <c r="B38" s="17" t="s">
        <v>49</v>
      </c>
      <c r="C38" s="35">
        <v>20</v>
      </c>
      <c r="D38" s="35">
        <v>1762</v>
      </c>
      <c r="E38" s="21">
        <f t="shared" si="1"/>
        <v>88.1</v>
      </c>
      <c r="F38" s="3"/>
    </row>
  </sheetData>
  <printOptions gridLines="1" horizontalCentered="1"/>
  <pageMargins left="0.7874015748031497" right="0.7874015748031497" top="0.44" bottom="0.65" header="0.07874015748031496" footer="0.63"/>
  <pageSetup horizontalDpi="300" verticalDpi="300" orientation="portrait" paperSize="9" scale="96" r:id="rId1"/>
  <headerFooter alignWithMargins="0">
    <oddHeader>&amp;C&amp;A, fait après la journée n° 20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Agence de l'Eau RMC</dc:creator>
  <cp:keywords/>
  <dc:description/>
  <cp:lastModifiedBy>DUCHAMPT</cp:lastModifiedBy>
  <cp:lastPrinted>2001-04-18T12:38:38Z</cp:lastPrinted>
  <dcterms:created xsi:type="dcterms:W3CDTF">2000-01-24T16:18:03Z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