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45" windowHeight="5385" tabRatio="776" activeTab="0"/>
  </bookViews>
  <sheets>
    <sheet name="stats" sheetId="1" r:id="rId1"/>
    <sheet name="Adresse tirs" sheetId="2" r:id="rId2"/>
    <sheet name="Adresse 2 points" sheetId="3" r:id="rId3"/>
    <sheet name="Adresse 3 points" sheetId="4" r:id="rId4"/>
    <sheet name="Lancers" sheetId="5" r:id="rId5"/>
    <sheet name="Moy.Points" sheetId="6" r:id="rId6"/>
    <sheet name="%points" sheetId="7" r:id="rId7"/>
    <sheet name="Tickets shoots" sheetId="8" r:id="rId8"/>
    <sheet name="%tickets" sheetId="9" r:id="rId9"/>
    <sheet name="Rebonds" sheetId="10" r:id="rId10"/>
    <sheet name="Rebonds total" sheetId="11" r:id="rId11"/>
    <sheet name="%rebonds" sheetId="12" r:id="rId12"/>
    <sheet name="Feuil2" sheetId="13" state="hidden" r:id="rId13"/>
    <sheet name="Inter-PB" sheetId="14" r:id="rId14"/>
    <sheet name="%interceptions" sheetId="15" r:id="rId15"/>
    <sheet name="Fautes" sheetId="16" r:id="rId16"/>
    <sheet name="Passes" sheetId="17" r:id="rId17"/>
    <sheet name="Note" sheetId="18" r:id="rId18"/>
    <sheet name="Mains d'or" sheetId="19" r:id="rId19"/>
    <sheet name="Feuil3" sheetId="20" r:id="rId20"/>
    <sheet name="Feuil4" sheetId="21" r:id="rId21"/>
    <sheet name="Feuil5" sheetId="22" r:id="rId22"/>
    <sheet name="Feuil6" sheetId="23" r:id="rId23"/>
    <sheet name="Feuil7" sheetId="24" r:id="rId24"/>
    <sheet name="Feuil8" sheetId="25" r:id="rId25"/>
    <sheet name="Feuil9" sheetId="26" r:id="rId26"/>
    <sheet name="Feuil10" sheetId="27" r:id="rId27"/>
    <sheet name="Feuil11" sheetId="28" r:id="rId28"/>
    <sheet name="Feuil12" sheetId="29" r:id="rId29"/>
    <sheet name="Feuil13" sheetId="30" r:id="rId30"/>
    <sheet name="Feuil14" sheetId="31" r:id="rId31"/>
    <sheet name="Feuil15" sheetId="32" r:id="rId32"/>
    <sheet name="Feuil16" sheetId="33" r:id="rId33"/>
    <sheet name="Feuil17" sheetId="34" r:id="rId34"/>
    <sheet name="Feuil18" sheetId="35" r:id="rId35"/>
  </sheets>
  <definedNames/>
  <calcPr fullCalcOnLoad="1"/>
</workbook>
</file>

<file path=xl/sharedStrings.xml><?xml version="1.0" encoding="utf-8"?>
<sst xmlns="http://schemas.openxmlformats.org/spreadsheetml/2006/main" count="90" uniqueCount="60">
  <si>
    <t>STATISTIQUES GENERALES (CHAMPIONNAT)</t>
  </si>
  <si>
    <t>J.</t>
  </si>
  <si>
    <t>Joueurs</t>
  </si>
  <si>
    <t>Points</t>
  </si>
  <si>
    <t>2 points</t>
  </si>
  <si>
    <t>% 2 points</t>
  </si>
  <si>
    <t>Total</t>
  </si>
  <si>
    <t>3 pts</t>
  </si>
  <si>
    <t>% à  3 pts</t>
  </si>
  <si>
    <t>L-F</t>
  </si>
  <si>
    <t>% L-F</t>
  </si>
  <si>
    <t>Fautes</t>
  </si>
  <si>
    <t>Passes</t>
  </si>
  <si>
    <t>Mauv.</t>
  </si>
  <si>
    <t>Intercep</t>
  </si>
  <si>
    <t>Pertes</t>
  </si>
  <si>
    <t xml:space="preserve">Rbd </t>
  </si>
  <si>
    <t>Rbds</t>
  </si>
  <si>
    <t>Rbd</t>
  </si>
  <si>
    <t>Secondes</t>
  </si>
  <si>
    <t>réussis</t>
  </si>
  <si>
    <t>tentés</t>
  </si>
  <si>
    <t>% 2 Pts</t>
  </si>
  <si>
    <t>décisi.</t>
  </si>
  <si>
    <t>passes</t>
  </si>
  <si>
    <t>balle</t>
  </si>
  <si>
    <t>déf</t>
  </si>
  <si>
    <t>total</t>
  </si>
  <si>
    <t>off</t>
  </si>
  <si>
    <t>jouées</t>
  </si>
  <si>
    <t>Bouddha</t>
  </si>
  <si>
    <t>Gillou</t>
  </si>
  <si>
    <t>Max</t>
  </si>
  <si>
    <t>Franck</t>
  </si>
  <si>
    <t>Jérôme</t>
  </si>
  <si>
    <t>Thierry</t>
  </si>
  <si>
    <t>Martial</t>
  </si>
  <si>
    <t>Gilles</t>
  </si>
  <si>
    <t>Babu</t>
  </si>
  <si>
    <t>EQUIPE</t>
  </si>
  <si>
    <t>STATISTIQUES MOYENNES</t>
  </si>
  <si>
    <t xml:space="preserve">Tirs </t>
  </si>
  <si>
    <t>Total Tirs</t>
  </si>
  <si>
    <t>Tirs</t>
  </si>
  <si>
    <t>Lancers-</t>
  </si>
  <si>
    <t>Mauvaises</t>
  </si>
  <si>
    <t>Interc</t>
  </si>
  <si>
    <t>Rebonds</t>
  </si>
  <si>
    <t>Temps de jeu</t>
  </si>
  <si>
    <t>Note du</t>
  </si>
  <si>
    <t>"Mains</t>
  </si>
  <si>
    <t>Joueur le</t>
  </si>
  <si>
    <t>francs</t>
  </si>
  <si>
    <t>eptions</t>
  </si>
  <si>
    <t>minutes</t>
  </si>
  <si>
    <t>sec</t>
  </si>
  <si>
    <t>joueur</t>
  </si>
  <si>
    <t>d'Or"</t>
  </si>
  <si>
    <t>/ mn</t>
  </si>
  <si>
    <t>plus adroit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</si>
</sst>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0.0000"/>
    <numFmt numFmtId="175" formatCode="0.000"/>
    <numFmt numFmtId="176" formatCode="_-* #,##0.0\ _F_-;\-* #,##0.0\ _F_-;_-* &quot;-&quot;??\ _F_-;_-@_-"/>
    <numFmt numFmtId="177" formatCode="_-* #,##0.000\ _F_-;\-* #,##0.000\ _F_-;_-* &quot;-&quot;??\ _F_-;_-@_-"/>
    <numFmt numFmtId="178" formatCode="_-* #,##0\ _F_-;\-* #,##0\ _F_-;_-* &quot;-&quot;??\ _F_-;_-@_-"/>
    <numFmt numFmtId="179" formatCode="_-* #,##0.0000\ _F_-;\-* #,##0.0000\ _F_-;_-* &quot;-&quot;??\ _F_-;_-@_-"/>
    <numFmt numFmtId="180" formatCode="_-* #,##0.00000\ _F_-;\-* #,##0.00000\ _F_-;_-* &quot;-&quot;??\ _F_-;_-@_-"/>
    <numFmt numFmtId="181" formatCode="_-* #,##0.000000\ _F_-;\-* #,##0.000000\ _F_-;_-* &quot;-&quot;??\ _F_-;_-@_-"/>
    <numFmt numFmtId="182" formatCode="_-* #,##0.0000000\ _F_-;\-* #,##0.0000000\ _F_-;_-* &quot;-&quot;??\ _F_-;_-@_-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b/>
      <i/>
      <u val="single"/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b/>
      <sz val="10"/>
      <color indexed="20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sz val="8"/>
      <color indexed="14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0"/>
      <color indexed="20"/>
      <name val="Arial"/>
      <family val="2"/>
    </font>
    <font>
      <sz val="10"/>
      <name val="Arial Rounded MT Bold"/>
      <family val="2"/>
    </font>
    <font>
      <sz val="10"/>
      <name val="Footlight MT Light"/>
      <family val="1"/>
    </font>
    <font>
      <b/>
      <sz val="10"/>
      <name val="Footlight MT Light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0" fontId="5" fillId="0" borderId="0" xfId="19" applyNumberFormat="1" applyFont="1" applyAlignment="1">
      <alignment/>
    </xf>
    <xf numFmtId="0" fontId="5" fillId="0" borderId="0" xfId="0" applyFont="1" applyAlignment="1">
      <alignment/>
    </xf>
    <xf numFmtId="9" fontId="6" fillId="0" borderId="0" xfId="19" applyFont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171" fontId="4" fillId="0" borderId="0" xfId="15" applyFont="1" applyAlignment="1">
      <alignment/>
    </xf>
    <xf numFmtId="2" fontId="6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1" fontId="8" fillId="0" borderId="0" xfId="15" applyNumberFormat="1" applyFont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18" fillId="2" borderId="0" xfId="0" applyFont="1" applyFill="1" applyAlignment="1">
      <alignment horizontal="left"/>
    </xf>
    <xf numFmtId="10" fontId="19" fillId="2" borderId="0" xfId="19" applyNumberFormat="1" applyFont="1" applyFill="1" applyAlignment="1">
      <alignment horizontal="left"/>
    </xf>
    <xf numFmtId="0" fontId="19" fillId="2" borderId="0" xfId="0" applyFont="1" applyFill="1" applyAlignment="1">
      <alignment horizontal="left"/>
    </xf>
    <xf numFmtId="9" fontId="20" fillId="2" borderId="0" xfId="19" applyFont="1" applyFill="1" applyAlignment="1">
      <alignment horizontal="left"/>
    </xf>
    <xf numFmtId="0" fontId="12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6" fillId="0" borderId="5" xfId="0" applyFont="1" applyBorder="1" applyAlignment="1">
      <alignment/>
    </xf>
    <xf numFmtId="0" fontId="4" fillId="0" borderId="5" xfId="0" applyFont="1" applyBorder="1" applyAlignment="1">
      <alignment/>
    </xf>
    <xf numFmtId="10" fontId="5" fillId="0" borderId="4" xfId="19" applyNumberFormat="1" applyFont="1" applyBorder="1" applyAlignment="1">
      <alignment/>
    </xf>
    <xf numFmtId="0" fontId="4" fillId="0" borderId="4" xfId="0" applyFont="1" applyBorder="1" applyAlignment="1">
      <alignment/>
    </xf>
    <xf numFmtId="0" fontId="24" fillId="0" borderId="4" xfId="0" applyFont="1" applyBorder="1" applyAlignment="1">
      <alignment/>
    </xf>
    <xf numFmtId="0" fontId="22" fillId="0" borderId="4" xfId="0" applyFont="1" applyBorder="1" applyAlignment="1">
      <alignment/>
    </xf>
    <xf numFmtId="0" fontId="0" fillId="0" borderId="6" xfId="0" applyBorder="1" applyAlignment="1">
      <alignment/>
    </xf>
    <xf numFmtId="0" fontId="11" fillId="2" borderId="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10" fontId="13" fillId="2" borderId="1" xfId="19" applyNumberFormat="1" applyFont="1" applyFill="1" applyBorder="1" applyAlignment="1">
      <alignment/>
    </xf>
    <xf numFmtId="10" fontId="13" fillId="2" borderId="7" xfId="19" applyNumberFormat="1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9" fontId="14" fillId="2" borderId="2" xfId="19" applyFont="1" applyFill="1" applyBorder="1" applyAlignment="1">
      <alignment/>
    </xf>
    <xf numFmtId="9" fontId="14" fillId="2" borderId="8" xfId="19" applyFont="1" applyFill="1" applyBorder="1" applyAlignment="1">
      <alignment/>
    </xf>
    <xf numFmtId="10" fontId="6" fillId="0" borderId="5" xfId="19" applyNumberFormat="1" applyFont="1" applyBorder="1" applyAlignment="1">
      <alignment/>
    </xf>
    <xf numFmtId="0" fontId="11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0" fontId="15" fillId="2" borderId="16" xfId="0" applyFont="1" applyFill="1" applyBorder="1" applyAlignment="1">
      <alignment/>
    </xf>
    <xf numFmtId="0" fontId="15" fillId="2" borderId="17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0" fontId="5" fillId="2" borderId="0" xfId="19" applyNumberFormat="1" applyFont="1" applyFill="1" applyAlignment="1">
      <alignment/>
    </xf>
    <xf numFmtId="0" fontId="5" fillId="2" borderId="0" xfId="0" applyFont="1" applyFill="1" applyAlignment="1">
      <alignment/>
    </xf>
    <xf numFmtId="9" fontId="6" fillId="2" borderId="0" xfId="19" applyFont="1" applyFill="1" applyAlignment="1">
      <alignment/>
    </xf>
    <xf numFmtId="0" fontId="2" fillId="2" borderId="0" xfId="0" applyFont="1" applyFill="1" applyAlignment="1">
      <alignment/>
    </xf>
    <xf numFmtId="2" fontId="4" fillId="0" borderId="3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171" fontId="5" fillId="0" borderId="18" xfId="15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19" xfId="0" applyNumberFormat="1" applyBorder="1" applyAlignment="1">
      <alignment/>
    </xf>
    <xf numFmtId="171" fontId="5" fillId="0" borderId="19" xfId="15" applyFont="1" applyBorder="1" applyAlignment="1">
      <alignment/>
    </xf>
    <xf numFmtId="171" fontId="4" fillId="0" borderId="4" xfId="15" applyFont="1" applyBorder="1" applyAlignment="1">
      <alignment/>
    </xf>
    <xf numFmtId="2" fontId="6" fillId="0" borderId="4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11" fillId="2" borderId="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2" fontId="5" fillId="0" borderId="5" xfId="0" applyNumberFormat="1" applyFont="1" applyBorder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2" fontId="25" fillId="0" borderId="20" xfId="0" applyNumberFormat="1" applyFont="1" applyBorder="1" applyAlignment="1">
      <alignment/>
    </xf>
    <xf numFmtId="2" fontId="25" fillId="0" borderId="13" xfId="0" applyNumberFormat="1" applyFont="1" applyBorder="1" applyAlignment="1">
      <alignment/>
    </xf>
    <xf numFmtId="1" fontId="8" fillId="0" borderId="21" xfId="15" applyNumberFormat="1" applyFont="1" applyBorder="1" applyAlignment="1">
      <alignment horizontal="center" vertical="center"/>
    </xf>
    <xf numFmtId="1" fontId="8" fillId="0" borderId="6" xfId="15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1" fontId="8" fillId="2" borderId="0" xfId="15" applyNumberFormat="1" applyFont="1" applyFill="1" applyAlignment="1">
      <alignment horizontal="center" vertical="center"/>
    </xf>
    <xf numFmtId="1" fontId="8" fillId="2" borderId="4" xfId="15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2" borderId="7" xfId="0" applyFont="1" applyFill="1" applyBorder="1" applyAlignment="1">
      <alignment/>
    </xf>
    <xf numFmtId="2" fontId="8" fillId="0" borderId="21" xfId="0" applyNumberFormat="1" applyFont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 horizontal="right"/>
    </xf>
    <xf numFmtId="2" fontId="0" fillId="2" borderId="5" xfId="0" applyNumberForma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4" fillId="0" borderId="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0" fontId="11" fillId="2" borderId="2" xfId="19" applyNumberFormat="1" applyFont="1" applyFill="1" applyBorder="1" applyAlignment="1">
      <alignment horizontal="center"/>
    </xf>
    <xf numFmtId="10" fontId="11" fillId="2" borderId="8" xfId="19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9" fontId="11" fillId="2" borderId="7" xfId="19" applyFont="1" applyFill="1" applyBorder="1" applyAlignment="1">
      <alignment horizontal="center"/>
    </xf>
    <xf numFmtId="9" fontId="11" fillId="2" borderId="1" xfId="19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11" fillId="2" borderId="1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0" fontId="0" fillId="0" borderId="3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22" xfId="0" applyNumberForma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 vertical="center"/>
    </xf>
    <xf numFmtId="171" fontId="9" fillId="0" borderId="25" xfId="15" applyNumberFormat="1" applyFont="1" applyBorder="1" applyAlignment="1">
      <alignment vertical="center"/>
    </xf>
    <xf numFmtId="2" fontId="8" fillId="0" borderId="2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171" fontId="8" fillId="0" borderId="23" xfId="15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2" fontId="25" fillId="0" borderId="26" xfId="0" applyNumberFormat="1" applyFont="1" applyBorder="1" applyAlignment="1">
      <alignment vertical="center"/>
    </xf>
    <xf numFmtId="2" fontId="10" fillId="0" borderId="23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78" fontId="1" fillId="0" borderId="24" xfId="15" applyNumberFormat="1" applyFont="1" applyBorder="1" applyAlignment="1">
      <alignment vertical="center"/>
    </xf>
    <xf numFmtId="178" fontId="1" fillId="2" borderId="23" xfId="15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0" fillId="2" borderId="23" xfId="0" applyNumberFormat="1" applyFill="1" applyBorder="1" applyAlignment="1">
      <alignment vertical="center"/>
    </xf>
    <xf numFmtId="2" fontId="8" fillId="0" borderId="23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10" fontId="9" fillId="0" borderId="23" xfId="19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0" fontId="10" fillId="0" borderId="22" xfId="19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3" fontId="25" fillId="0" borderId="26" xfId="0" applyNumberFormat="1" applyFont="1" applyBorder="1" applyAlignment="1">
      <alignment vertical="center"/>
    </xf>
    <xf numFmtId="171" fontId="4" fillId="0" borderId="4" xfId="15" applyNumberFormat="1" applyFont="1" applyBorder="1" applyAlignment="1">
      <alignment/>
    </xf>
    <xf numFmtId="0" fontId="0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worksheet" Target="worksheets/sheet3.xml" /><Relationship Id="rId21" Type="http://schemas.openxmlformats.org/officeDocument/2006/relationships/worksheet" Target="worksheets/sheet4.xml" /><Relationship Id="rId22" Type="http://schemas.openxmlformats.org/officeDocument/2006/relationships/worksheet" Target="worksheets/sheet5.xml" /><Relationship Id="rId23" Type="http://schemas.openxmlformats.org/officeDocument/2006/relationships/worksheet" Target="worksheets/sheet6.xml" /><Relationship Id="rId24" Type="http://schemas.openxmlformats.org/officeDocument/2006/relationships/worksheet" Target="worksheets/sheet7.xml" /><Relationship Id="rId25" Type="http://schemas.openxmlformats.org/officeDocument/2006/relationships/worksheet" Target="worksheets/sheet8.xml" /><Relationship Id="rId26" Type="http://schemas.openxmlformats.org/officeDocument/2006/relationships/worksheet" Target="worksheets/sheet9.xml" /><Relationship Id="rId27" Type="http://schemas.openxmlformats.org/officeDocument/2006/relationships/worksheet" Target="worksheets/sheet10.xml" /><Relationship Id="rId28" Type="http://schemas.openxmlformats.org/officeDocument/2006/relationships/worksheet" Target="worksheets/sheet11.xml" /><Relationship Id="rId29" Type="http://schemas.openxmlformats.org/officeDocument/2006/relationships/worksheet" Target="worksheets/sheet12.xml" /><Relationship Id="rId30" Type="http://schemas.openxmlformats.org/officeDocument/2006/relationships/worksheet" Target="worksheets/sheet13.xml" /><Relationship Id="rId31" Type="http://schemas.openxmlformats.org/officeDocument/2006/relationships/worksheet" Target="worksheets/sheet14.xml" /><Relationship Id="rId32" Type="http://schemas.openxmlformats.org/officeDocument/2006/relationships/worksheet" Target="worksheets/sheet15.xml" /><Relationship Id="rId33" Type="http://schemas.openxmlformats.org/officeDocument/2006/relationships/worksheet" Target="worksheets/sheet16.xml" /><Relationship Id="rId34" Type="http://schemas.openxmlformats.org/officeDocument/2006/relationships/worksheet" Target="worksheets/sheet17.xml" /><Relationship Id="rId35" Type="http://schemas.openxmlformats.org/officeDocument/2006/relationships/worksheet" Target="worksheets/sheet18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aux tirs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5"/>
          <c:w val="0.8837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stats!$F$4</c:f>
              <c:strCache>
                <c:ptCount val="1"/>
                <c:pt idx="0">
                  <c:v>% 2 points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stats!$B$6:$B$15</c:f>
              <c:strCache>
                <c:ptCount val="10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  <c:pt idx="9">
                  <c:v>EQUIPE</c:v>
                </c:pt>
              </c:strCache>
            </c:strRef>
          </c:cat>
          <c:val>
            <c:numRef>
              <c:f>stats!$F$6:$F$15</c:f>
              <c:numCache>
                <c:ptCount val="10"/>
                <c:pt idx="0">
                  <c:v>0.38372093023255816</c:v>
                </c:pt>
                <c:pt idx="1">
                  <c:v>0.4406779661016949</c:v>
                </c:pt>
                <c:pt idx="2">
                  <c:v>0.5694444444444444</c:v>
                </c:pt>
                <c:pt idx="3">
                  <c:v>0.4310850439882698</c:v>
                </c:pt>
                <c:pt idx="4">
                  <c:v>0.5423076923076923</c:v>
                </c:pt>
                <c:pt idx="5">
                  <c:v>0.3333333333333333</c:v>
                </c:pt>
                <c:pt idx="6">
                  <c:v>0.3541666666666667</c:v>
                </c:pt>
                <c:pt idx="7">
                  <c:v>0.4807692307692308</c:v>
                </c:pt>
                <c:pt idx="8">
                  <c:v>0.4671814671814672</c:v>
                </c:pt>
                <c:pt idx="9">
                  <c:v>0.4577114427860697</c:v>
                </c:pt>
              </c:numCache>
            </c:numRef>
          </c:val>
        </c:ser>
        <c:ser>
          <c:idx val="1"/>
          <c:order val="1"/>
          <c:tx>
            <c:strRef>
              <c:f>stats!$I$4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stats!$B$6:$B$15</c:f>
              <c:strCache>
                <c:ptCount val="10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  <c:pt idx="9">
                  <c:v>EQUIPE</c:v>
                </c:pt>
              </c:strCache>
            </c:strRef>
          </c:cat>
          <c:val>
            <c:numRef>
              <c:f>stats!$I$6:$I$15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stats!$M$4</c:f>
              <c:strCache>
                <c:ptCount val="1"/>
                <c:pt idx="0">
                  <c:v>% à  3 pts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stats!$B$6:$B$15</c:f>
              <c:strCache>
                <c:ptCount val="10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  <c:pt idx="9">
                  <c:v>EQUIPE</c:v>
                </c:pt>
              </c:strCache>
            </c:strRef>
          </c:cat>
          <c:val>
            <c:numRef>
              <c:f>stats!$M$6:$M$15</c:f>
              <c:numCache>
                <c:ptCount val="10"/>
                <c:pt idx="0">
                  <c:v>0.22857142857142856</c:v>
                </c:pt>
                <c:pt idx="1">
                  <c:v>0</c:v>
                </c:pt>
                <c:pt idx="2">
                  <c:v>0.21621621621621623</c:v>
                </c:pt>
                <c:pt idx="3">
                  <c:v>0.3</c:v>
                </c:pt>
                <c:pt idx="4">
                  <c:v>0</c:v>
                </c:pt>
                <c:pt idx="5">
                  <c:v>0.375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0.23076923076923078</c:v>
                </c:pt>
              </c:numCache>
            </c:numRef>
          </c:val>
        </c:ser>
        <c:axId val="48593175"/>
        <c:axId val="34685392"/>
      </c:bar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4685392"/>
        <c:crosses val="autoZero"/>
        <c:auto val="0"/>
        <c:lblOffset val="100"/>
        <c:noMultiLvlLbl val="0"/>
      </c:catAx>
      <c:valAx>
        <c:axId val="34685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3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265"/>
          <c:y val="0.005"/>
          <c:w val="0.123"/>
          <c:h val="0.112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Rebonds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875"/>
          <c:w val="0.910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stats!$P$21:$P$29</c:f>
              <c:numCache>
                <c:ptCount val="9"/>
                <c:pt idx="0">
                  <c:v>2.857142857142857</c:v>
                </c:pt>
                <c:pt idx="1">
                  <c:v>1.95</c:v>
                </c:pt>
                <c:pt idx="2">
                  <c:v>1.5238095238095237</c:v>
                </c:pt>
                <c:pt idx="3">
                  <c:v>5.636363636363637</c:v>
                </c:pt>
                <c:pt idx="4">
                  <c:v>12.818181818181818</c:v>
                </c:pt>
                <c:pt idx="5">
                  <c:v>0.5</c:v>
                </c:pt>
                <c:pt idx="6">
                  <c:v>4.071428571428571</c:v>
                </c:pt>
                <c:pt idx="7">
                  <c:v>4.05</c:v>
                </c:pt>
                <c:pt idx="8">
                  <c:v>14.142857142857142</c:v>
                </c:pt>
              </c:numCache>
            </c:numRef>
          </c:val>
        </c:ser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7132470"/>
        <c:crosses val="autoZero"/>
        <c:auto val="0"/>
        <c:lblOffset val="100"/>
        <c:noMultiLvlLbl val="0"/>
      </c:catAx>
      <c:valAx>
        <c:axId val="3713247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6321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Pourcentage des rebonds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5"/>
          <c:y val="0.25675"/>
          <c:w val="0.85"/>
          <c:h val="0.56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stats!$P$21:$P$29</c:f>
              <c:numCache>
                <c:ptCount val="9"/>
                <c:pt idx="0">
                  <c:v>2.857142857142857</c:v>
                </c:pt>
                <c:pt idx="1">
                  <c:v>1.95</c:v>
                </c:pt>
                <c:pt idx="2">
                  <c:v>1.5238095238095237</c:v>
                </c:pt>
                <c:pt idx="3">
                  <c:v>5.636363636363637</c:v>
                </c:pt>
                <c:pt idx="4">
                  <c:v>12.818181818181818</c:v>
                </c:pt>
                <c:pt idx="5">
                  <c:v>0.5</c:v>
                </c:pt>
                <c:pt idx="6">
                  <c:v>4.071428571428571</c:v>
                </c:pt>
                <c:pt idx="7">
                  <c:v>4.05</c:v>
                </c:pt>
                <c:pt idx="8">
                  <c:v>14.142857142857142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Inter / PB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725"/>
          <c:w val="0.86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stats!$N$19:$N$20</c:f>
              <c:strCache>
                <c:ptCount val="1"/>
                <c:pt idx="0">
                  <c:v>Interc eptions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stats!$N$21:$N$29</c:f>
              <c:numCache>
                <c:ptCount val="9"/>
                <c:pt idx="0">
                  <c:v>0.7142857142857143</c:v>
                </c:pt>
                <c:pt idx="1">
                  <c:v>0.7</c:v>
                </c:pt>
                <c:pt idx="2">
                  <c:v>0.9047619047619048</c:v>
                </c:pt>
                <c:pt idx="3">
                  <c:v>1.9090909090909092</c:v>
                </c:pt>
                <c:pt idx="4">
                  <c:v>3.090909090909091</c:v>
                </c:pt>
                <c:pt idx="5">
                  <c:v>1</c:v>
                </c:pt>
                <c:pt idx="6">
                  <c:v>0.5</c:v>
                </c:pt>
                <c:pt idx="7">
                  <c:v>1.85</c:v>
                </c:pt>
                <c:pt idx="8">
                  <c:v>1.380952380952381</c:v>
                </c:pt>
              </c:numCache>
            </c:numRef>
          </c:val>
        </c:ser>
        <c:ser>
          <c:idx val="1"/>
          <c:order val="1"/>
          <c:tx>
            <c:strRef>
              <c:f>stats!$O$19:$O$20</c:f>
              <c:strCache>
                <c:ptCount val="1"/>
                <c:pt idx="0">
                  <c:v>Pertes balle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stats!$O$21:$O$29</c:f>
              <c:numCache>
                <c:ptCount val="9"/>
                <c:pt idx="0">
                  <c:v>1.1428571428571428</c:v>
                </c:pt>
                <c:pt idx="1">
                  <c:v>0.7</c:v>
                </c:pt>
                <c:pt idx="2">
                  <c:v>1.3333333333333333</c:v>
                </c:pt>
                <c:pt idx="3">
                  <c:v>0.9090909090909091</c:v>
                </c:pt>
                <c:pt idx="4">
                  <c:v>1.7272727272727273</c:v>
                </c:pt>
                <c:pt idx="5">
                  <c:v>1.25</c:v>
                </c:pt>
                <c:pt idx="6">
                  <c:v>0.8571428571428571</c:v>
                </c:pt>
                <c:pt idx="7">
                  <c:v>1.65</c:v>
                </c:pt>
                <c:pt idx="8">
                  <c:v>1.0476190476190477</c:v>
                </c:pt>
              </c:numCache>
            </c:numRef>
          </c:val>
        </c:ser>
        <c:axId val="65756775"/>
        <c:axId val="54940064"/>
      </c:bar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4940064"/>
        <c:crosses val="autoZero"/>
        <c:auto val="0"/>
        <c:lblOffset val="100"/>
        <c:noMultiLvlLbl val="0"/>
      </c:catAx>
      <c:valAx>
        <c:axId val="54940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56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"/>
          <c:y val="0.01925"/>
          <c:w val="0.1385"/>
          <c:h val="0.0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Pourcentage des interceptions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5"/>
          <c:y val="0.25675"/>
          <c:w val="0.85"/>
          <c:h val="0.56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6"/>
            <c:spPr>
              <a:solidFill>
                <a:srgbClr val="8080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stats!$N$21:$N$29</c:f>
              <c:numCache>
                <c:ptCount val="9"/>
                <c:pt idx="0">
                  <c:v>0.7142857142857143</c:v>
                </c:pt>
                <c:pt idx="1">
                  <c:v>0.7</c:v>
                </c:pt>
                <c:pt idx="2">
                  <c:v>0.9047619047619048</c:v>
                </c:pt>
                <c:pt idx="3">
                  <c:v>1.9090909090909092</c:v>
                </c:pt>
                <c:pt idx="4">
                  <c:v>3.090909090909091</c:v>
                </c:pt>
                <c:pt idx="5">
                  <c:v>1</c:v>
                </c:pt>
                <c:pt idx="6">
                  <c:v>0.5</c:v>
                </c:pt>
                <c:pt idx="7">
                  <c:v>1.85</c:v>
                </c:pt>
                <c:pt idx="8">
                  <c:v>1.380952380952381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Fautes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"/>
          <c:w val="0.913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stats!$K$21:$K$29</c:f>
              <c:numCache>
                <c:ptCount val="9"/>
                <c:pt idx="0">
                  <c:v>2.4761904761904763</c:v>
                </c:pt>
                <c:pt idx="1">
                  <c:v>2.4</c:v>
                </c:pt>
                <c:pt idx="2">
                  <c:v>3.6666666666666665</c:v>
                </c:pt>
                <c:pt idx="3">
                  <c:v>3.6818181818181817</c:v>
                </c:pt>
                <c:pt idx="4">
                  <c:v>4.454545454545454</c:v>
                </c:pt>
                <c:pt idx="5">
                  <c:v>1</c:v>
                </c:pt>
                <c:pt idx="6">
                  <c:v>2.142857142857143</c:v>
                </c:pt>
                <c:pt idx="7">
                  <c:v>3.6</c:v>
                </c:pt>
                <c:pt idx="8">
                  <c:v>3.7142857142857144</c:v>
                </c:pt>
              </c:numCache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0960170"/>
        <c:crosses val="autoZero"/>
        <c:auto val="0"/>
        <c:lblOffset val="100"/>
        <c:noMultiLvlLbl val="0"/>
      </c:catAx>
      <c:valAx>
        <c:axId val="20960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9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Passes décisives / Mauvaises Passes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525"/>
          <c:w val="0.836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stats!$L$19:$L$20</c:f>
              <c:strCache>
                <c:ptCount val="1"/>
                <c:pt idx="0">
                  <c:v>Passes décisi.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stats!$L$21:$L$29</c:f>
              <c:numCache>
                <c:ptCount val="9"/>
                <c:pt idx="0">
                  <c:v>1.1904761904761905</c:v>
                </c:pt>
                <c:pt idx="1">
                  <c:v>0.95</c:v>
                </c:pt>
                <c:pt idx="2">
                  <c:v>2.8095238095238093</c:v>
                </c:pt>
                <c:pt idx="3">
                  <c:v>2.3181818181818183</c:v>
                </c:pt>
                <c:pt idx="4">
                  <c:v>1.5909090909090908</c:v>
                </c:pt>
                <c:pt idx="5">
                  <c:v>0</c:v>
                </c:pt>
                <c:pt idx="6">
                  <c:v>0.5</c:v>
                </c:pt>
                <c:pt idx="7">
                  <c:v>2.05</c:v>
                </c:pt>
                <c:pt idx="8">
                  <c:v>1.2857142857142858</c:v>
                </c:pt>
              </c:numCache>
            </c:numRef>
          </c:val>
        </c:ser>
        <c:ser>
          <c:idx val="1"/>
          <c:order val="1"/>
          <c:tx>
            <c:strRef>
              <c:f>stats!$M$19:$M$20</c:f>
              <c:strCache>
                <c:ptCount val="1"/>
                <c:pt idx="0">
                  <c:v>Mauvaises Passes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stats!$M$21:$M$29</c:f>
              <c:numCache>
                <c:ptCount val="9"/>
                <c:pt idx="0">
                  <c:v>1.380952380952381</c:v>
                </c:pt>
                <c:pt idx="1">
                  <c:v>0.6</c:v>
                </c:pt>
                <c:pt idx="2">
                  <c:v>1.5238095238095237</c:v>
                </c:pt>
                <c:pt idx="3">
                  <c:v>1.1818181818181819</c:v>
                </c:pt>
                <c:pt idx="4">
                  <c:v>1.8636363636363635</c:v>
                </c:pt>
                <c:pt idx="5">
                  <c:v>0.25</c:v>
                </c:pt>
                <c:pt idx="6">
                  <c:v>0.35714285714285715</c:v>
                </c:pt>
                <c:pt idx="7">
                  <c:v>1.7</c:v>
                </c:pt>
                <c:pt idx="8">
                  <c:v>1.2857142857142858</c:v>
                </c:pt>
              </c:numCache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0052180"/>
        <c:crosses val="autoZero"/>
        <c:auto val="0"/>
        <c:lblOffset val="100"/>
        <c:noMultiLvlLbl val="0"/>
      </c:catAx>
      <c:valAx>
        <c:axId val="20052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23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925"/>
          <c:y val="0.031"/>
          <c:w val="0.155"/>
          <c:h val="0.0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Note des joueurs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76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stats!$B$21:$B$30</c:f>
              <c:strCache>
                <c:ptCount val="10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  <c:pt idx="9">
                  <c:v>EQUIPE</c:v>
                </c:pt>
              </c:strCache>
            </c:strRef>
          </c:cat>
          <c:val>
            <c:numRef>
              <c:f>stats!$U$21:$U$30</c:f>
              <c:numCache>
                <c:ptCount val="10"/>
                <c:pt idx="0">
                  <c:v>-78</c:v>
                </c:pt>
                <c:pt idx="1">
                  <c:v>-11</c:v>
                </c:pt>
                <c:pt idx="2">
                  <c:v>-44</c:v>
                </c:pt>
                <c:pt idx="3">
                  <c:v>62</c:v>
                </c:pt>
                <c:pt idx="4">
                  <c:v>199</c:v>
                </c:pt>
                <c:pt idx="5">
                  <c:v>-7</c:v>
                </c:pt>
                <c:pt idx="6">
                  <c:v>13</c:v>
                </c:pt>
                <c:pt idx="7">
                  <c:v>1</c:v>
                </c:pt>
                <c:pt idx="8">
                  <c:v>245</c:v>
                </c:pt>
                <c:pt idx="9">
                  <c:v>380</c:v>
                </c:pt>
              </c:numCache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3613854"/>
        <c:crosses val="autoZero"/>
        <c:auto val="0"/>
        <c:lblOffset val="100"/>
        <c:noMultiLvlLbl val="0"/>
      </c:catAx>
      <c:valAx>
        <c:axId val="13613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251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"Mains d'or"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975"/>
          <c:w val="0.913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stats!$B$21:$B$30</c:f>
              <c:strCache>
                <c:ptCount val="10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  <c:pt idx="9">
                  <c:v>EQUIPE</c:v>
                </c:pt>
              </c:strCache>
            </c:strRef>
          </c:cat>
          <c:val>
            <c:numRef>
              <c:f>stats!$V$21:$V$30</c:f>
              <c:numCache>
                <c:ptCount val="10"/>
                <c:pt idx="0">
                  <c:v>-0.9320388349514563</c:v>
                </c:pt>
                <c:pt idx="1">
                  <c:v>1.3104524180967239</c:v>
                </c:pt>
                <c:pt idx="2">
                  <c:v>1.1863243169023754</c:v>
                </c:pt>
                <c:pt idx="3">
                  <c:v>2.4172291867566695</c:v>
                </c:pt>
                <c:pt idx="4">
                  <c:v>1.3773314203730271</c:v>
                </c:pt>
                <c:pt idx="5">
                  <c:v>-1.6695652173913045</c:v>
                </c:pt>
                <c:pt idx="6">
                  <c:v>-0.6109461179465422</c:v>
                </c:pt>
                <c:pt idx="7">
                  <c:v>1.0144092219020173</c:v>
                </c:pt>
                <c:pt idx="8">
                  <c:v>0.3649000868809731</c:v>
                </c:pt>
                <c:pt idx="9">
                  <c:v>0.8933002481389578</c:v>
                </c:pt>
              </c:numCache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8980360"/>
        <c:crosses val="autoZero"/>
        <c:auto val="0"/>
        <c:lblOffset val="100"/>
        <c:noMultiLvlLbl val="0"/>
      </c:catAx>
      <c:valAx>
        <c:axId val="289803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415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2 points
(raquette + mi-distance)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925"/>
          <c:w val="0.893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stats!$B$6:$B$15</c:f>
              <c:strCache>
                <c:ptCount val="10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  <c:pt idx="9">
                  <c:v>EQUIPE</c:v>
                </c:pt>
              </c:strCache>
            </c:strRef>
          </c:cat>
          <c:val>
            <c:numRef>
              <c:f>stats!$J$6:$J$15</c:f>
              <c:numCache>
                <c:ptCount val="10"/>
                <c:pt idx="0">
                  <c:v>0.38372093023255816</c:v>
                </c:pt>
                <c:pt idx="1">
                  <c:v>0.4406779661016949</c:v>
                </c:pt>
                <c:pt idx="2">
                  <c:v>0.5694444444444444</c:v>
                </c:pt>
                <c:pt idx="3">
                  <c:v>0.4310850439882698</c:v>
                </c:pt>
                <c:pt idx="4">
                  <c:v>0.5423076923076923</c:v>
                </c:pt>
                <c:pt idx="5">
                  <c:v>0.3333333333333333</c:v>
                </c:pt>
                <c:pt idx="6">
                  <c:v>0.3541666666666667</c:v>
                </c:pt>
                <c:pt idx="7">
                  <c:v>0.4807692307692308</c:v>
                </c:pt>
                <c:pt idx="8">
                  <c:v>0.4671814671814672</c:v>
                </c:pt>
                <c:pt idx="9">
                  <c:v>0.4577114427860697</c:v>
                </c:pt>
              </c:numCache>
            </c:numRef>
          </c:val>
        </c:ser>
        <c:axId val="43733073"/>
        <c:axId val="58053338"/>
      </c:bar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8053338"/>
        <c:crosses val="autoZero"/>
        <c:auto val="0"/>
        <c:lblOffset val="100"/>
        <c:noMultiLvlLbl val="0"/>
      </c:catAx>
      <c:valAx>
        <c:axId val="58053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33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3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15"/>
          <c:w val="0.914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stats!$B$6:$B$15</c:f>
              <c:strCache>
                <c:ptCount val="10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  <c:pt idx="9">
                  <c:v>EQUIPE</c:v>
                </c:pt>
              </c:strCache>
            </c:strRef>
          </c:cat>
          <c:val>
            <c:numRef>
              <c:f>stats!$M$6:$M$15</c:f>
              <c:numCache>
                <c:ptCount val="10"/>
                <c:pt idx="0">
                  <c:v>0.22857142857142856</c:v>
                </c:pt>
                <c:pt idx="1">
                  <c:v>0</c:v>
                </c:pt>
                <c:pt idx="2">
                  <c:v>0.21621621621621623</c:v>
                </c:pt>
                <c:pt idx="3">
                  <c:v>0.3</c:v>
                </c:pt>
                <c:pt idx="4">
                  <c:v>0</c:v>
                </c:pt>
                <c:pt idx="5">
                  <c:v>0.375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0.23076923076923078</c:v>
                </c:pt>
              </c:numCache>
            </c:numRef>
          </c:val>
        </c:ser>
        <c:axId val="52717995"/>
        <c:axId val="4699908"/>
      </c:bar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699908"/>
        <c:crosses val="autoZero"/>
        <c:auto val="0"/>
        <c:lblOffset val="100"/>
        <c:noMultiLvlLbl val="0"/>
      </c:catAx>
      <c:valAx>
        <c:axId val="4699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17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Lancers-Francs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625"/>
          <c:w val="0.9122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1"/>
            <c:spPr>
              <a:solidFill>
                <a:srgbClr val="C0C0C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stats!$B$6:$B$15</c:f>
              <c:strCache>
                <c:ptCount val="10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  <c:pt idx="9">
                  <c:v>EQUIPE</c:v>
                </c:pt>
              </c:strCache>
            </c:strRef>
          </c:cat>
          <c:val>
            <c:numRef>
              <c:f>stats!$P$6:$P$15</c:f>
              <c:numCache>
                <c:ptCount val="10"/>
                <c:pt idx="0">
                  <c:v>0.5441176470588235</c:v>
                </c:pt>
                <c:pt idx="1">
                  <c:v>0.4864864864864865</c:v>
                </c:pt>
                <c:pt idx="2">
                  <c:v>0.5903614457831325</c:v>
                </c:pt>
                <c:pt idx="3">
                  <c:v>0.5891472868217055</c:v>
                </c:pt>
                <c:pt idx="4">
                  <c:v>0.4147727272727273</c:v>
                </c:pt>
                <c:pt idx="5">
                  <c:v>0.6666666666666666</c:v>
                </c:pt>
                <c:pt idx="6">
                  <c:v>0.6</c:v>
                </c:pt>
                <c:pt idx="7">
                  <c:v>0.37037037037037035</c:v>
                </c:pt>
                <c:pt idx="8">
                  <c:v>0.62</c:v>
                </c:pt>
                <c:pt idx="9">
                  <c:v>0.5272727272727272</c:v>
                </c:pt>
              </c:numCache>
            </c:numRef>
          </c:val>
        </c:ser>
        <c:axId val="42299173"/>
        <c:axId val="45148238"/>
      </c:bar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5148238"/>
        <c:crosses val="autoZero"/>
        <c:auto val="0"/>
        <c:lblOffset val="100"/>
        <c:noMultiLvlLbl val="0"/>
      </c:catAx>
      <c:valAx>
        <c:axId val="45148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9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Moyenne des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913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stats!$C$21:$C$29</c:f>
              <c:numCache>
                <c:ptCount val="9"/>
                <c:pt idx="0">
                  <c:v>12.333333333333334</c:v>
                </c:pt>
                <c:pt idx="1">
                  <c:v>3.5</c:v>
                </c:pt>
                <c:pt idx="2">
                  <c:v>8.523809523809524</c:v>
                </c:pt>
                <c:pt idx="3">
                  <c:v>17.227272727272727</c:v>
                </c:pt>
                <c:pt idx="4">
                  <c:v>16.136363636363637</c:v>
                </c:pt>
                <c:pt idx="5">
                  <c:v>3.75</c:v>
                </c:pt>
                <c:pt idx="6">
                  <c:v>3.0714285714285716</c:v>
                </c:pt>
                <c:pt idx="7">
                  <c:v>6</c:v>
                </c:pt>
                <c:pt idx="8">
                  <c:v>15.952380952380953</c:v>
                </c:pt>
              </c:numCache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3128632"/>
        <c:crosses val="autoZero"/>
        <c:auto val="0"/>
        <c:lblOffset val="100"/>
        <c:noMultiLvlLbl val="0"/>
      </c:catAx>
      <c:valAx>
        <c:axId val="33128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0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Points apportés à l'équipe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5"/>
          <c:y val="0.21875"/>
          <c:w val="0.85"/>
          <c:h val="0.5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6"/>
            <c:spPr>
              <a:solidFill>
                <a:srgbClr val="FFFFC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stats!$C$21:$C$29</c:f>
              <c:numCache>
                <c:ptCount val="9"/>
                <c:pt idx="0">
                  <c:v>12.333333333333334</c:v>
                </c:pt>
                <c:pt idx="1">
                  <c:v>3.5</c:v>
                </c:pt>
                <c:pt idx="2">
                  <c:v>8.523809523809524</c:v>
                </c:pt>
                <c:pt idx="3">
                  <c:v>17.227272727272727</c:v>
                </c:pt>
                <c:pt idx="4">
                  <c:v>16.136363636363637</c:v>
                </c:pt>
                <c:pt idx="5">
                  <c:v>3.75</c:v>
                </c:pt>
                <c:pt idx="6">
                  <c:v>3.0714285714285716</c:v>
                </c:pt>
                <c:pt idx="7">
                  <c:v>6</c:v>
                </c:pt>
                <c:pt idx="8">
                  <c:v>15.952380952380953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stats!$B$21:$B$29</c:f>
              <c:strCache>
                <c:ptCount val="1"/>
                <c:pt idx="0">
                  <c:v>Bouddha</c:v>
                </c:pt>
              </c:strCache>
            </c:strRef>
          </c:cat>
          <c:val>
            <c:numRef>
              <c:f>stats!#REF!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Moyenne des shoots tentés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"/>
          <c:w val="0.912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stats!$H$21:$H$29</c:f>
              <c:numCache>
                <c:ptCount val="9"/>
                <c:pt idx="0">
                  <c:v>13.952380952380953</c:v>
                </c:pt>
                <c:pt idx="1">
                  <c:v>3</c:v>
                </c:pt>
                <c:pt idx="2">
                  <c:v>6.9523809523809526</c:v>
                </c:pt>
                <c:pt idx="3">
                  <c:v>15.954545454545455</c:v>
                </c:pt>
                <c:pt idx="4">
                  <c:v>11.863636363636363</c:v>
                </c:pt>
                <c:pt idx="5">
                  <c:v>3.5</c:v>
                </c:pt>
                <c:pt idx="6">
                  <c:v>3.4285714285714284</c:v>
                </c:pt>
                <c:pt idx="7">
                  <c:v>5.25</c:v>
                </c:pt>
                <c:pt idx="8">
                  <c:v>12.333333333333334</c:v>
                </c:pt>
              </c:numCache>
            </c:numRef>
          </c:val>
        </c:ser>
        <c:axId val="29722233"/>
        <c:axId val="66173506"/>
      </c:bar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6173506"/>
        <c:crosses val="autoZero"/>
        <c:auto val="0"/>
        <c:lblOffset val="100"/>
        <c:noMultiLvlLbl val="0"/>
      </c:catAx>
      <c:valAx>
        <c:axId val="66173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22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Tickets de shoots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"/>
          <c:y val="0.26225"/>
          <c:w val="0.85975"/>
          <c:h val="0.5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FFFFC0"/>
              </a:solidFill>
            </c:spPr>
          </c:dPt>
          <c:dPt>
            <c:idx val="5"/>
          </c:dPt>
          <c:dPt>
            <c:idx val="6"/>
            <c:spPr>
              <a:solidFill>
                <a:srgbClr val="FFFFC0"/>
              </a:solidFill>
            </c:spPr>
          </c:dPt>
          <c:dPt>
            <c:idx val="7"/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stats!$H$21:$H$29</c:f>
              <c:numCache>
                <c:ptCount val="9"/>
                <c:pt idx="0">
                  <c:v>13.952380952380953</c:v>
                </c:pt>
                <c:pt idx="1">
                  <c:v>3</c:v>
                </c:pt>
                <c:pt idx="2">
                  <c:v>6.9523809523809526</c:v>
                </c:pt>
                <c:pt idx="3">
                  <c:v>15.954545454545455</c:v>
                </c:pt>
                <c:pt idx="4">
                  <c:v>11.863636363636363</c:v>
                </c:pt>
                <c:pt idx="5">
                  <c:v>3.5</c:v>
                </c:pt>
                <c:pt idx="6">
                  <c:v>3.4285714285714284</c:v>
                </c:pt>
                <c:pt idx="7">
                  <c:v>5.25</c:v>
                </c:pt>
                <c:pt idx="8">
                  <c:v>12.333333333333334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Rebonds déf. et off.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5"/>
          <c:w val="0.8987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stats!$Q$19:$Q$20</c:f>
              <c:strCache>
                <c:ptCount val="1"/>
                <c:pt idx="0">
                  <c:v>Rbds déf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stats!$Q$21:$Q$29</c:f>
              <c:numCache>
                <c:ptCount val="9"/>
                <c:pt idx="0">
                  <c:v>1.380952380952381</c:v>
                </c:pt>
                <c:pt idx="1">
                  <c:v>1.35</c:v>
                </c:pt>
                <c:pt idx="2">
                  <c:v>1.2380952380952381</c:v>
                </c:pt>
                <c:pt idx="3">
                  <c:v>2.272727272727273</c:v>
                </c:pt>
                <c:pt idx="4">
                  <c:v>9.136363636363637</c:v>
                </c:pt>
                <c:pt idx="5">
                  <c:v>0.5</c:v>
                </c:pt>
                <c:pt idx="6">
                  <c:v>3.4285714285714284</c:v>
                </c:pt>
                <c:pt idx="7">
                  <c:v>2.85</c:v>
                </c:pt>
                <c:pt idx="8">
                  <c:v>9.714285714285714</c:v>
                </c:pt>
              </c:numCache>
            </c:numRef>
          </c:val>
        </c:ser>
        <c:ser>
          <c:idx val="1"/>
          <c:order val="1"/>
          <c:tx>
            <c:strRef>
              <c:f>stats!$R$19:$R$20</c:f>
              <c:strCache>
                <c:ptCount val="1"/>
                <c:pt idx="0">
                  <c:v>Rbds off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stats!$B$21:$B$29</c:f>
              <c:strCache>
                <c:ptCount val="9"/>
                <c:pt idx="0">
                  <c:v>Bouddha</c:v>
                </c:pt>
                <c:pt idx="1">
                  <c:v>Gillou</c:v>
                </c:pt>
                <c:pt idx="2">
                  <c:v>Max</c:v>
                </c:pt>
                <c:pt idx="3">
                  <c:v>Franck</c:v>
                </c:pt>
                <c:pt idx="4">
                  <c:v>Jérôme</c:v>
                </c:pt>
                <c:pt idx="5">
                  <c:v>Thierry</c:v>
                </c:pt>
                <c:pt idx="6">
                  <c:v>Martial</c:v>
                </c:pt>
                <c:pt idx="7">
                  <c:v>Gilles</c:v>
                </c:pt>
                <c:pt idx="8">
                  <c:v>Babu</c:v>
                </c:pt>
              </c:strCache>
            </c:strRef>
          </c:cat>
          <c:val>
            <c:numRef>
              <c:f>stats!$R$21:$R$29</c:f>
              <c:numCache>
                <c:ptCount val="9"/>
                <c:pt idx="0">
                  <c:v>1.4761904761904763</c:v>
                </c:pt>
                <c:pt idx="1">
                  <c:v>0.6</c:v>
                </c:pt>
                <c:pt idx="2">
                  <c:v>0.2857142857142857</c:v>
                </c:pt>
                <c:pt idx="3">
                  <c:v>3.3636363636363638</c:v>
                </c:pt>
                <c:pt idx="4">
                  <c:v>3.6818181818181817</c:v>
                </c:pt>
                <c:pt idx="5">
                  <c:v>0</c:v>
                </c:pt>
                <c:pt idx="6">
                  <c:v>0.6428571428571429</c:v>
                </c:pt>
                <c:pt idx="7">
                  <c:v>1.2</c:v>
                </c:pt>
                <c:pt idx="8">
                  <c:v>4.428571428571429</c:v>
                </c:pt>
              </c:numCache>
            </c:numRef>
          </c:val>
        </c:ser>
        <c:overlap val="100"/>
        <c:axId val="58690643"/>
        <c:axId val="58453740"/>
      </c:bar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8453740"/>
        <c:crosses val="autoZero"/>
        <c:auto val="0"/>
        <c:lblOffset val="100"/>
        <c:noMultiLvlLbl val="0"/>
      </c:catAx>
      <c:valAx>
        <c:axId val="584537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69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01925"/>
          <c:w val="0.116"/>
          <c:h val="0.0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69" top="0.73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4921259845" footer="0.492125984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5981700"/>
    <xdr:graphicFrame>
      <xdr:nvGraphicFramePr>
        <xdr:cNvPr id="1" name="Chart 1"/>
        <xdr:cNvGraphicFramePr/>
      </xdr:nvGraphicFramePr>
      <xdr:xfrm>
        <a:off x="9525" y="0"/>
        <a:ext cx="95821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1905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1905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8.28125" style="0" customWidth="1"/>
    <col min="3" max="4" width="6.140625" style="0" customWidth="1"/>
    <col min="5" max="5" width="6.28125" style="0" customWidth="1"/>
    <col min="6" max="6" width="8.8515625" style="2" customWidth="1"/>
    <col min="7" max="7" width="5.57421875" style="0" customWidth="1"/>
    <col min="8" max="8" width="5.7109375" style="0" customWidth="1"/>
    <col min="9" max="9" width="8.00390625" style="3" customWidth="1"/>
    <col min="10" max="10" width="8.7109375" style="4" customWidth="1"/>
    <col min="11" max="12" width="5.57421875" style="0" customWidth="1"/>
    <col min="13" max="13" width="8.57421875" style="3" customWidth="1"/>
    <col min="14" max="14" width="5.57421875" style="0" customWidth="1"/>
    <col min="15" max="15" width="4.8515625" style="0" customWidth="1"/>
    <col min="16" max="16" width="8.00390625" style="3" customWidth="1"/>
    <col min="17" max="17" width="5.421875" style="0" customWidth="1"/>
    <col min="18" max="18" width="5.57421875" style="0" customWidth="1"/>
    <col min="19" max="19" width="5.421875" style="0" customWidth="1"/>
    <col min="20" max="20" width="5.57421875" style="0" customWidth="1"/>
    <col min="21" max="21" width="6.140625" style="0" customWidth="1"/>
    <col min="22" max="22" width="6.00390625" style="0" customWidth="1"/>
    <col min="23" max="24" width="5.28125" style="0" customWidth="1"/>
    <col min="25" max="25" width="4.421875" style="0" customWidth="1"/>
    <col min="26" max="26" width="7.421875" style="0" customWidth="1"/>
  </cols>
  <sheetData>
    <row r="1" spans="6:28" s="42" customFormat="1" ht="12.75">
      <c r="F1" s="60"/>
      <c r="I1" s="61"/>
      <c r="J1" s="62"/>
      <c r="M1" s="61"/>
      <c r="P1" s="61"/>
      <c r="AA1"/>
      <c r="AB1"/>
    </row>
    <row r="2" spans="1:28" s="10" customFormat="1" ht="12.75">
      <c r="A2" s="13"/>
      <c r="B2" s="13"/>
      <c r="C2" s="13"/>
      <c r="D2" s="13" t="s">
        <v>0</v>
      </c>
      <c r="E2" s="13"/>
      <c r="F2" s="14"/>
      <c r="G2" s="13"/>
      <c r="H2" s="13"/>
      <c r="I2" s="15"/>
      <c r="J2" s="16"/>
      <c r="K2" s="13"/>
      <c r="L2" s="13"/>
      <c r="M2" s="15"/>
      <c r="N2" s="13"/>
      <c r="O2" s="13"/>
      <c r="P2" s="15"/>
      <c r="Q2" s="13"/>
      <c r="R2" s="13"/>
      <c r="S2" s="13"/>
      <c r="T2" s="13"/>
      <c r="U2" s="13"/>
      <c r="V2" s="13"/>
      <c r="W2" s="13"/>
      <c r="X2" s="13"/>
      <c r="Y2" s="13"/>
      <c r="Z2" s="13"/>
      <c r="AA2"/>
      <c r="AB2"/>
    </row>
    <row r="3" spans="1:28" s="13" customFormat="1" ht="12.75">
      <c r="A3" s="152"/>
      <c r="F3" s="14"/>
      <c r="I3" s="15"/>
      <c r="J3" s="16"/>
      <c r="M3" s="15"/>
      <c r="P3" s="15"/>
      <c r="AA3"/>
      <c r="AB3"/>
    </row>
    <row r="4" spans="1:28" s="5" customFormat="1" ht="15" customHeight="1">
      <c r="A4" s="12" t="s">
        <v>1</v>
      </c>
      <c r="B4" s="17" t="s">
        <v>2</v>
      </c>
      <c r="C4" s="18" t="s">
        <v>3</v>
      </c>
      <c r="D4" s="31" t="s">
        <v>4</v>
      </c>
      <c r="E4" s="41" t="s">
        <v>4</v>
      </c>
      <c r="F4" s="32" t="s">
        <v>5</v>
      </c>
      <c r="G4" s="34"/>
      <c r="H4" s="41"/>
      <c r="I4" s="35"/>
      <c r="J4" s="38" t="s">
        <v>6</v>
      </c>
      <c r="K4" s="31" t="s">
        <v>7</v>
      </c>
      <c r="L4" s="41" t="s">
        <v>7</v>
      </c>
      <c r="M4" s="35" t="s">
        <v>8</v>
      </c>
      <c r="N4" s="34" t="s">
        <v>9</v>
      </c>
      <c r="O4" s="41" t="s">
        <v>9</v>
      </c>
      <c r="P4" s="35" t="s">
        <v>10</v>
      </c>
      <c r="Q4" s="41"/>
      <c r="R4" s="31" t="s">
        <v>11</v>
      </c>
      <c r="S4" s="48" t="s">
        <v>12</v>
      </c>
      <c r="T4" s="49" t="s">
        <v>13</v>
      </c>
      <c r="U4" s="52" t="s">
        <v>14</v>
      </c>
      <c r="V4" s="52" t="s">
        <v>15</v>
      </c>
      <c r="W4" s="50" t="s">
        <v>16</v>
      </c>
      <c r="X4" s="56" t="s">
        <v>17</v>
      </c>
      <c r="Y4" s="50" t="s">
        <v>18</v>
      </c>
      <c r="Z4" s="41" t="s">
        <v>19</v>
      </c>
      <c r="AA4"/>
      <c r="AB4"/>
    </row>
    <row r="5" spans="1:28" s="5" customFormat="1" ht="15" customHeight="1">
      <c r="A5" s="28"/>
      <c r="B5" s="29"/>
      <c r="C5" s="30"/>
      <c r="D5" s="28" t="s">
        <v>20</v>
      </c>
      <c r="E5" s="30" t="s">
        <v>21</v>
      </c>
      <c r="F5" s="33"/>
      <c r="G5" s="36"/>
      <c r="H5" s="30"/>
      <c r="I5" s="37"/>
      <c r="J5" s="39" t="s">
        <v>22</v>
      </c>
      <c r="K5" s="28" t="s">
        <v>20</v>
      </c>
      <c r="L5" s="30" t="s">
        <v>21</v>
      </c>
      <c r="M5" s="37"/>
      <c r="N5" s="36" t="s">
        <v>20</v>
      </c>
      <c r="O5" s="30" t="s">
        <v>21</v>
      </c>
      <c r="P5" s="37"/>
      <c r="Q5" s="30"/>
      <c r="R5" s="28"/>
      <c r="S5" s="36" t="s">
        <v>23</v>
      </c>
      <c r="T5" s="30" t="s">
        <v>24</v>
      </c>
      <c r="U5" s="53"/>
      <c r="V5" s="53" t="s">
        <v>25</v>
      </c>
      <c r="W5" s="51" t="s">
        <v>26</v>
      </c>
      <c r="X5" s="57" t="s">
        <v>27</v>
      </c>
      <c r="Y5" s="51" t="s">
        <v>28</v>
      </c>
      <c r="Z5" s="30" t="s">
        <v>29</v>
      </c>
      <c r="AA5"/>
      <c r="AB5"/>
    </row>
    <row r="6" spans="1:26" ht="15" customHeight="1">
      <c r="A6" s="20">
        <v>21</v>
      </c>
      <c r="B6" s="21" t="s">
        <v>30</v>
      </c>
      <c r="C6" s="22">
        <f>D6+D6+G6+G6+K6+K6+K6+N6</f>
        <v>259</v>
      </c>
      <c r="D6" s="20">
        <f>12+6+8+4+6+9+18+15+7+11+3</f>
        <v>99</v>
      </c>
      <c r="E6" s="43">
        <f>24+17+22+15+12+8+26+5+9+15+8+14+11+12+7+4+10+6+11+3+19</f>
        <v>258</v>
      </c>
      <c r="F6" s="23">
        <f>D6/E6</f>
        <v>0.38372093023255816</v>
      </c>
      <c r="G6" s="27"/>
      <c r="H6" s="44"/>
      <c r="I6" s="23"/>
      <c r="J6" s="40">
        <f>(D6+G6)/(E6+H6)</f>
        <v>0.38372093023255816</v>
      </c>
      <c r="K6" s="20">
        <v>8</v>
      </c>
      <c r="L6" s="44">
        <f>20+3+1+6+1+2+2</f>
        <v>35</v>
      </c>
      <c r="M6" s="23">
        <f>K6/L6</f>
        <v>0.22857142857142856</v>
      </c>
      <c r="N6" s="27">
        <f>8+3+3+3+15+5</f>
        <v>37</v>
      </c>
      <c r="O6" s="44">
        <f>7+15+1+9+1+25+4+6</f>
        <v>68</v>
      </c>
      <c r="P6" s="23">
        <f>N6/O6</f>
        <v>0.5441176470588235</v>
      </c>
      <c r="Q6" s="46"/>
      <c r="R6" s="25">
        <f>8+4+6+7+4+7+6+6+2+2</f>
        <v>52</v>
      </c>
      <c r="S6" s="45">
        <f>8+4+2+7+4</f>
        <v>25</v>
      </c>
      <c r="T6" s="47">
        <f>1+10+7+4+4+3</f>
        <v>29</v>
      </c>
      <c r="U6" s="24">
        <f>9+2+4</f>
        <v>15</v>
      </c>
      <c r="V6" s="47">
        <f>3+1+8+6+4+2</f>
        <v>24</v>
      </c>
      <c r="W6" s="26">
        <f>5+4+1+2+15+2</f>
        <v>29</v>
      </c>
      <c r="X6" s="58">
        <f>W6+Y6</f>
        <v>60</v>
      </c>
      <c r="Y6" s="26">
        <f>1+4+7+8+5+1+5</f>
        <v>31</v>
      </c>
      <c r="Z6" s="54">
        <v>33475</v>
      </c>
    </row>
    <row r="7" spans="1:26" ht="15" customHeight="1">
      <c r="A7" s="20">
        <v>20</v>
      </c>
      <c r="B7" s="21" t="s">
        <v>31</v>
      </c>
      <c r="C7" s="22">
        <f>D7+D7+G7+G7+K7+K7+K7+N7</f>
        <v>70</v>
      </c>
      <c r="D7" s="20">
        <f>4+2+4+4+8+4</f>
        <v>26</v>
      </c>
      <c r="E7" s="43">
        <f>12+11+10+8+1+10+7</f>
        <v>59</v>
      </c>
      <c r="F7" s="23">
        <f>D7/E7</f>
        <v>0.4406779661016949</v>
      </c>
      <c r="G7" s="27"/>
      <c r="H7" s="44"/>
      <c r="I7" s="23"/>
      <c r="J7" s="40">
        <f>(D7+G7)/(E7+H7)</f>
        <v>0.4406779661016949</v>
      </c>
      <c r="K7" s="20">
        <v>0</v>
      </c>
      <c r="L7" s="44">
        <v>1</v>
      </c>
      <c r="M7" s="23">
        <f>K7/L7</f>
        <v>0</v>
      </c>
      <c r="N7" s="27">
        <f>3+1+3+2+9</f>
        <v>18</v>
      </c>
      <c r="O7" s="44">
        <f>7+9+3+8+2+1+3+4</f>
        <v>37</v>
      </c>
      <c r="P7" s="23">
        <f>N7/O7</f>
        <v>0.4864864864864865</v>
      </c>
      <c r="Q7" s="46"/>
      <c r="R7" s="25">
        <f>5+3+10+8+15+5+2</f>
        <v>48</v>
      </c>
      <c r="S7" s="45">
        <f>3+3+2+2+1+4+4</f>
        <v>19</v>
      </c>
      <c r="T7" s="47">
        <f>12</f>
        <v>12</v>
      </c>
      <c r="U7" s="24">
        <f>14</f>
        <v>14</v>
      </c>
      <c r="V7" s="47">
        <f>14</f>
        <v>14</v>
      </c>
      <c r="W7" s="26">
        <f>7+6+4+3+1+4+2</f>
        <v>27</v>
      </c>
      <c r="X7" s="58">
        <f>W7+Y7</f>
        <v>39</v>
      </c>
      <c r="Y7" s="26">
        <f>1+1+2+2+3+3</f>
        <v>12</v>
      </c>
      <c r="Z7" s="54">
        <f>((16+12+2+5+3+22+3+20+3+6+5+7+11+1+8+13+13+9+23+23)*60)+30+40+10+45+55+25+30+30+55+10+35+30+40+5+20+30+15+15</f>
        <v>12820</v>
      </c>
    </row>
    <row r="8" spans="1:26" ht="15" customHeight="1">
      <c r="A8" s="20">
        <v>21</v>
      </c>
      <c r="B8" s="21" t="s">
        <v>32</v>
      </c>
      <c r="C8" s="22">
        <f>D8+D8+G8+G8+K8+K8+K8+N8</f>
        <v>179</v>
      </c>
      <c r="D8" s="20">
        <f>2+2+6+4+2+6+2+3+2+1+2+3+2+4</f>
        <v>41</v>
      </c>
      <c r="E8" s="43">
        <f>8+2+7+9+13+12+3+7+3+8</f>
        <v>72</v>
      </c>
      <c r="F8" s="23">
        <f>D8/E8</f>
        <v>0.5694444444444444</v>
      </c>
      <c r="G8" s="27"/>
      <c r="H8" s="44"/>
      <c r="I8" s="23"/>
      <c r="J8" s="40">
        <f>(D8+G8)/(E8+H8)</f>
        <v>0.5694444444444444</v>
      </c>
      <c r="K8" s="20">
        <f>4+3+2+1+1+2+1+2</f>
        <v>16</v>
      </c>
      <c r="L8" s="44">
        <f>14+2+5+17+14+15+7</f>
        <v>74</v>
      </c>
      <c r="M8" s="23">
        <f>K8/L8</f>
        <v>0.21621621621621623</v>
      </c>
      <c r="N8" s="27">
        <f>8+5+9+5+6+16</f>
        <v>49</v>
      </c>
      <c r="O8" s="44">
        <f>18+7+21+8+6+6+5+1+1+10</f>
        <v>83</v>
      </c>
      <c r="P8" s="23">
        <f>N8/O8</f>
        <v>0.5903614457831325</v>
      </c>
      <c r="Q8" s="46"/>
      <c r="R8" s="25">
        <f>11+12+11+12+11+14+6</f>
        <v>77</v>
      </c>
      <c r="S8" s="45">
        <f>7+6+8+15+14+4+1+4</f>
        <v>59</v>
      </c>
      <c r="T8" s="47">
        <f>7+5+7+3+6+4</f>
        <v>32</v>
      </c>
      <c r="U8" s="24">
        <f>12+2+3+2</f>
        <v>19</v>
      </c>
      <c r="V8" s="47">
        <f>8+3+4+6+7</f>
        <v>28</v>
      </c>
      <c r="W8" s="26">
        <f>14+2+4+6</f>
        <v>26</v>
      </c>
      <c r="X8" s="58">
        <f>W8+Y8</f>
        <v>32</v>
      </c>
      <c r="Y8" s="26">
        <f>6</f>
        <v>6</v>
      </c>
      <c r="Z8" s="54">
        <f>((31+20+33+35+30+40+39+17+27+33+37+34+11+16+36+15+17+24+21+36+45)*60)+50+55+5+10+55+50+25+55+10+20+15+30+45+50+55+15+50</f>
        <v>36415</v>
      </c>
    </row>
    <row r="9" spans="1:26" ht="15" customHeight="1">
      <c r="A9" s="20">
        <v>22</v>
      </c>
      <c r="B9" s="21" t="s">
        <v>33</v>
      </c>
      <c r="C9" s="22">
        <f>D9+D9+G9+G9+K9+K9+K9+N9</f>
        <v>379</v>
      </c>
      <c r="D9" s="20">
        <f>12+18+11+13+17+17+18+11+13+7+3+7</f>
        <v>147</v>
      </c>
      <c r="E9" s="43">
        <f>15+16+17+15+22+8+15+17+17+22+16+23+15+19+21+13+15+12+16+10+17</f>
        <v>341</v>
      </c>
      <c r="F9" s="23">
        <f>D9/E9</f>
        <v>0.4310850439882698</v>
      </c>
      <c r="G9" s="27"/>
      <c r="H9" s="44"/>
      <c r="I9" s="23"/>
      <c r="J9" s="40">
        <f>(D9+G9)/(E9+H9)</f>
        <v>0.4310850439882698</v>
      </c>
      <c r="K9" s="20">
        <v>3</v>
      </c>
      <c r="L9" s="44">
        <v>10</v>
      </c>
      <c r="M9" s="23">
        <f>K9/L9</f>
        <v>0.3</v>
      </c>
      <c r="N9" s="27">
        <f>9+10+2+5+6+5+8+11+2+6+5+7</f>
        <v>76</v>
      </c>
      <c r="O9" s="44">
        <f>10+10+20+10+9+16+12+17+16+1+8</f>
        <v>129</v>
      </c>
      <c r="P9" s="23">
        <f>N9/O9</f>
        <v>0.5891472868217055</v>
      </c>
      <c r="Q9" s="46"/>
      <c r="R9" s="25">
        <f>4+5+2+4+5+3+2+2+3+4+4+9+6+2+5+3+5+3+5+5</f>
        <v>81</v>
      </c>
      <c r="S9" s="45">
        <f>5+9+7+7+5+4+5+3+3+2+1</f>
        <v>51</v>
      </c>
      <c r="T9" s="47">
        <f>8+3+3+7+1+1+3</f>
        <v>26</v>
      </c>
      <c r="U9" s="24">
        <f>9+2+10+2+16+3</f>
        <v>42</v>
      </c>
      <c r="V9" s="47">
        <f>6+2+6+1+3+2</f>
        <v>20</v>
      </c>
      <c r="W9" s="26">
        <f>11+1+9+16+8+3+2</f>
        <v>50</v>
      </c>
      <c r="X9" s="59">
        <f>W9+Y9</f>
        <v>124</v>
      </c>
      <c r="Y9" s="26">
        <f>7+9+2+1+4+1+5+11+7+15+12</f>
        <v>74</v>
      </c>
      <c r="Z9" s="54">
        <f>((33+34+31+32+21+31+36+39+34+39+36+35+37+40+38+38+39+35+31+36+28+44)*60)+35+10+20+45+45+30+10+35+40+50+55+40+25+30+45+40+20+10+5+55</f>
        <v>46665</v>
      </c>
    </row>
    <row r="10" spans="1:26" ht="15" customHeight="1">
      <c r="A10" s="20">
        <v>22</v>
      </c>
      <c r="B10" s="21" t="s">
        <v>34</v>
      </c>
      <c r="C10" s="22">
        <f>D10+D10+G10+G10+K10+K10+K10+N10</f>
        <v>355</v>
      </c>
      <c r="D10" s="20">
        <f>8+6+3+7+5+3+6+11+13+5+6+16+9+8+7+12+9+7</f>
        <v>141</v>
      </c>
      <c r="E10" s="43">
        <f>20+26+28+16+15+10+16+15+28+12+9+16+17+14+18</f>
        <v>260</v>
      </c>
      <c r="F10" s="23">
        <f aca="true" t="shared" si="0" ref="F10:F15">D10/E10</f>
        <v>0.5423076923076923</v>
      </c>
      <c r="G10" s="27"/>
      <c r="H10" s="44"/>
      <c r="I10" s="23"/>
      <c r="J10" s="40">
        <f aca="true" t="shared" si="1" ref="J10:J15">(D10+G10)/(E10+H10)</f>
        <v>0.5423076923076923</v>
      </c>
      <c r="K10" s="20">
        <v>0</v>
      </c>
      <c r="L10" s="44">
        <v>1</v>
      </c>
      <c r="M10" s="23">
        <f aca="true" t="shared" si="2" ref="M10:M15">K10/L10</f>
        <v>0</v>
      </c>
      <c r="N10" s="27">
        <f>8+5+6+3+5+3+4+6+9+3+5+4+7+3+2</f>
        <v>73</v>
      </c>
      <c r="O10" s="44">
        <f>11+17+10+15+6+7+4+21+7+4+17+6+9+8+9+10+6+9</f>
        <v>176</v>
      </c>
      <c r="P10" s="23">
        <f aca="true" t="shared" si="3" ref="P10:P15">N10/O10</f>
        <v>0.4147727272727273</v>
      </c>
      <c r="Q10" s="46"/>
      <c r="R10" s="25">
        <f>20+8+5+5+4+5+4+7+19+4+4+5+4+4</f>
        <v>98</v>
      </c>
      <c r="S10" s="45">
        <f>4+2+3+2+2+9+7+5+1</f>
        <v>35</v>
      </c>
      <c r="T10" s="47">
        <f>11+3+6+3+6+6+3+3</f>
        <v>41</v>
      </c>
      <c r="U10" s="24">
        <f>10+7+4+3+10+11+2+3+5+6+7</f>
        <v>68</v>
      </c>
      <c r="V10" s="47">
        <f>9+4+4+1+4+11+3+2</f>
        <v>38</v>
      </c>
      <c r="W10" s="26">
        <f>6+12+10+8+15+9+6+8+7+9+9+8+8+7+7+4+11+14+13+6+8+16</f>
        <v>201</v>
      </c>
      <c r="X10" s="58">
        <f>W10+Y10</f>
        <v>282</v>
      </c>
      <c r="Y10" s="26">
        <f>7+6+6+2+3+3+3+4+1+7+8+11+9+8+3</f>
        <v>81</v>
      </c>
      <c r="Z10" s="54">
        <f>((30+25+29+32+39+24+29+25+37+37+32+23+37+31+32+28+36+36+37+33+31+27)*60)+5+45+5+50+10+20+30+55+15+15+5+20+35+30+35+45</f>
        <v>41820</v>
      </c>
    </row>
    <row r="11" spans="1:26" ht="15" customHeight="1">
      <c r="A11" s="20">
        <v>4</v>
      </c>
      <c r="B11" s="21" t="s">
        <v>35</v>
      </c>
      <c r="C11" s="22">
        <f>D11+D11+G11+G11+K11+K11+K11+N11</f>
        <v>15</v>
      </c>
      <c r="D11" s="20">
        <v>2</v>
      </c>
      <c r="E11" s="43">
        <v>6</v>
      </c>
      <c r="F11" s="23">
        <f t="shared" si="0"/>
        <v>0.3333333333333333</v>
      </c>
      <c r="G11" s="27"/>
      <c r="H11" s="44"/>
      <c r="I11" s="23"/>
      <c r="J11" s="40">
        <f t="shared" si="1"/>
        <v>0.3333333333333333</v>
      </c>
      <c r="K11" s="20">
        <v>3</v>
      </c>
      <c r="L11" s="44">
        <v>8</v>
      </c>
      <c r="M11" s="23">
        <f t="shared" si="2"/>
        <v>0.375</v>
      </c>
      <c r="N11" s="27">
        <v>2</v>
      </c>
      <c r="O11" s="44">
        <v>3</v>
      </c>
      <c r="P11" s="23">
        <f t="shared" si="3"/>
        <v>0.6666666666666666</v>
      </c>
      <c r="Q11" s="46"/>
      <c r="R11" s="25">
        <v>4</v>
      </c>
      <c r="S11" s="45">
        <v>0</v>
      </c>
      <c r="T11" s="47">
        <v>1</v>
      </c>
      <c r="U11" s="24">
        <v>4</v>
      </c>
      <c r="V11" s="47">
        <v>5</v>
      </c>
      <c r="W11" s="26">
        <v>2</v>
      </c>
      <c r="X11" s="58">
        <f>W11+Y11</f>
        <v>2</v>
      </c>
      <c r="Y11" s="26">
        <v>0</v>
      </c>
      <c r="Z11" s="54">
        <f>((2+22+20+3)*60)+15+10+15+15</f>
        <v>2875</v>
      </c>
    </row>
    <row r="12" spans="1:26" ht="15" customHeight="1">
      <c r="A12" s="20">
        <v>14</v>
      </c>
      <c r="B12" s="21" t="s">
        <v>36</v>
      </c>
      <c r="C12" s="22">
        <f>D12+D12+G12+G12+K12+K12+K12+N12</f>
        <v>43</v>
      </c>
      <c r="D12" s="20">
        <f>9+6+2</f>
        <v>17</v>
      </c>
      <c r="E12" s="43">
        <f>20+4+1+4+1+5+5+1+2+5</f>
        <v>48</v>
      </c>
      <c r="F12" s="23">
        <f t="shared" si="0"/>
        <v>0.3541666666666667</v>
      </c>
      <c r="G12" s="27"/>
      <c r="H12" s="44"/>
      <c r="I12" s="23"/>
      <c r="J12" s="40">
        <f t="shared" si="1"/>
        <v>0.3541666666666667</v>
      </c>
      <c r="K12" s="20">
        <v>0</v>
      </c>
      <c r="L12" s="44">
        <v>0</v>
      </c>
      <c r="M12" s="23" t="e">
        <f t="shared" si="2"/>
        <v>#DIV/0!</v>
      </c>
      <c r="N12" s="27">
        <f>2+3+2+2</f>
        <v>9</v>
      </c>
      <c r="O12" s="44">
        <f>4+7+2+2</f>
        <v>15</v>
      </c>
      <c r="P12" s="23">
        <f t="shared" si="3"/>
        <v>0.6</v>
      </c>
      <c r="Q12" s="46"/>
      <c r="R12" s="25">
        <f>11+12+1+2+4</f>
        <v>30</v>
      </c>
      <c r="S12" s="45">
        <f>3+4</f>
        <v>7</v>
      </c>
      <c r="T12" s="47">
        <v>5</v>
      </c>
      <c r="U12" s="24">
        <v>7</v>
      </c>
      <c r="V12" s="47">
        <v>12</v>
      </c>
      <c r="W12" s="26">
        <f>17+8+10+4+3+5+1</f>
        <v>48</v>
      </c>
      <c r="X12" s="58">
        <f>W12+Y12</f>
        <v>57</v>
      </c>
      <c r="Y12" s="26">
        <f>3+3+2+1</f>
        <v>9</v>
      </c>
      <c r="Z12" s="54">
        <f>((11+25+23+12+16+18+2+18+14+16+3+12+21)*60)+5+40+45+50+15+40+15+5+45+5+15+15+10+20</f>
        <v>11785</v>
      </c>
    </row>
    <row r="13" spans="1:26" ht="15" customHeight="1">
      <c r="A13" s="20">
        <v>20</v>
      </c>
      <c r="B13" s="21" t="s">
        <v>37</v>
      </c>
      <c r="C13" s="22">
        <f>D13+D13+G13+G13+K13+K13+K13+N13</f>
        <v>120</v>
      </c>
      <c r="D13" s="20">
        <f>1+4+5+4+3+2+3+3+2+2+5+4+3+2+2+5</f>
        <v>50</v>
      </c>
      <c r="E13" s="43">
        <f>10+9+13+7+13+7+8+16+15+6</f>
        <v>104</v>
      </c>
      <c r="F13" s="23">
        <f t="shared" si="0"/>
        <v>0.4807692307692308</v>
      </c>
      <c r="G13" s="27"/>
      <c r="H13" s="44"/>
      <c r="I13" s="23"/>
      <c r="J13" s="40">
        <f t="shared" si="1"/>
        <v>0.4807692307692308</v>
      </c>
      <c r="K13" s="20">
        <v>0</v>
      </c>
      <c r="L13" s="44">
        <v>1</v>
      </c>
      <c r="M13" s="23">
        <f t="shared" si="2"/>
        <v>0</v>
      </c>
      <c r="N13" s="27">
        <f>3+1+4+3+5+4</f>
        <v>20</v>
      </c>
      <c r="O13" s="44">
        <f>1+6+7+6+1+1+6+9+2+6+9</f>
        <v>54</v>
      </c>
      <c r="P13" s="23">
        <f t="shared" si="3"/>
        <v>0.37037037037037035</v>
      </c>
      <c r="Q13" s="46"/>
      <c r="R13" s="25">
        <f>4+5+5+3+3+4+5+4+2+11+13+7+5+1</f>
        <v>72</v>
      </c>
      <c r="S13" s="45">
        <f>9+4+4+7+9+8</f>
        <v>41</v>
      </c>
      <c r="T13" s="47">
        <f>2+5+7+5+14+1</f>
        <v>34</v>
      </c>
      <c r="U13" s="24">
        <f>11+3+3+5+8+7</f>
        <v>37</v>
      </c>
      <c r="V13" s="47">
        <f>3+3+3+1+2+1+2+1+6+7+4</f>
        <v>33</v>
      </c>
      <c r="W13" s="26">
        <f>9+3+3+10+5+12+6+9</f>
        <v>57</v>
      </c>
      <c r="X13" s="58">
        <f>W13+Y13</f>
        <v>81</v>
      </c>
      <c r="Y13" s="26">
        <f>6+2+1+4+1+1+2+3+4</f>
        <v>24</v>
      </c>
      <c r="Z13" s="54">
        <f>((17+16+13+22+20+21+32+19+38+29+27+29+22+14+12+14+18+21+16+24)*60)+10+45+40+40+35+55+15+40+45+50+25+30+5+55+10+10+55+20</f>
        <v>26025</v>
      </c>
    </row>
    <row r="14" spans="1:26" ht="15" customHeight="1" thickBot="1">
      <c r="A14" s="20">
        <v>21</v>
      </c>
      <c r="B14" s="21" t="s">
        <v>38</v>
      </c>
      <c r="C14" s="22">
        <f>D14+D14+G14+G14+K14+K14+K14+N14</f>
        <v>335</v>
      </c>
      <c r="D14" s="20">
        <f>9+11+17+3+13+12+17+8+14+11+6</f>
        <v>121</v>
      </c>
      <c r="E14" s="43">
        <f>19+28+26+17+23+21+31+6+27+26+27+8</f>
        <v>259</v>
      </c>
      <c r="F14" s="23">
        <f t="shared" si="0"/>
        <v>0.4671814671814672</v>
      </c>
      <c r="G14" s="27"/>
      <c r="H14" s="44"/>
      <c r="I14" s="23"/>
      <c r="J14" s="40">
        <f t="shared" si="1"/>
        <v>0.4671814671814672</v>
      </c>
      <c r="K14" s="20">
        <v>0</v>
      </c>
      <c r="L14" s="44">
        <v>0</v>
      </c>
      <c r="M14" s="23" t="e">
        <f>K14/L14</f>
        <v>#DIV/0!</v>
      </c>
      <c r="N14" s="27">
        <f>10+5+1+8+15+6+15+2+7+11+12+1</f>
        <v>93</v>
      </c>
      <c r="O14" s="44">
        <f>20+10+7+11+20+10+20+3+12+19+16+2</f>
        <v>150</v>
      </c>
      <c r="P14" s="23">
        <f t="shared" si="3"/>
        <v>0.62</v>
      </c>
      <c r="Q14" s="46"/>
      <c r="R14" s="25">
        <f>10+6+8+3+5+5+7+4+9+9+8+4</f>
        <v>78</v>
      </c>
      <c r="S14" s="45">
        <f>2+8+2+3+3+4+2+3</f>
        <v>27</v>
      </c>
      <c r="T14" s="47">
        <f>5+3+1+2+3+3+1+3+2+4</f>
        <v>27</v>
      </c>
      <c r="U14" s="24">
        <f>4+4+2+3+2+3+2+2+4+3</f>
        <v>29</v>
      </c>
      <c r="V14" s="47">
        <f>1+2+1+5+2+1+3+4+3</f>
        <v>22</v>
      </c>
      <c r="W14" s="26">
        <f>15+16+22+9+22+21+22+11+17+21+18+10</f>
        <v>204</v>
      </c>
      <c r="X14" s="58">
        <f>W14+Y14</f>
        <v>297</v>
      </c>
      <c r="Y14" s="26">
        <f>8+13+5+3+5+9+9+4+6+14+10+7</f>
        <v>93</v>
      </c>
      <c r="Z14" s="55">
        <f>((33+36+34+38+38+36+40+40+40+27+40+35+40+33+23+35+38+40+36+33+45)*60)+50+55+40+35+30+20+55+25+45+30+50+5</f>
        <v>46040</v>
      </c>
    </row>
    <row r="15" spans="1:28" s="1" customFormat="1" ht="24" customHeight="1">
      <c r="A15" s="116">
        <v>22</v>
      </c>
      <c r="B15" s="137" t="s">
        <v>39</v>
      </c>
      <c r="C15" s="138">
        <f>SUM(C6:C14)</f>
        <v>1755</v>
      </c>
      <c r="D15" s="116">
        <f>SUM(D6:D14)</f>
        <v>644</v>
      </c>
      <c r="E15" s="139">
        <f>SUM(E6:E14)</f>
        <v>1407</v>
      </c>
      <c r="F15" s="140">
        <f t="shared" si="0"/>
        <v>0.4577114427860697</v>
      </c>
      <c r="G15" s="141"/>
      <c r="H15" s="128"/>
      <c r="I15" s="140"/>
      <c r="J15" s="142">
        <f t="shared" si="1"/>
        <v>0.4577114427860697</v>
      </c>
      <c r="K15" s="116">
        <f>SUM(K6:K14)</f>
        <v>30</v>
      </c>
      <c r="L15" s="128">
        <f>SUM(L6:L14)</f>
        <v>130</v>
      </c>
      <c r="M15" s="140">
        <f t="shared" si="2"/>
        <v>0.23076923076923078</v>
      </c>
      <c r="N15" s="141">
        <f>SUM(N6:N14)</f>
        <v>377</v>
      </c>
      <c r="O15" s="128">
        <f>SUM(O6:O14)</f>
        <v>715</v>
      </c>
      <c r="P15" s="140">
        <f t="shared" si="3"/>
        <v>0.5272727272727272</v>
      </c>
      <c r="Q15" s="143"/>
      <c r="R15" s="144">
        <f aca="true" t="shared" si="4" ref="R15:Z15">SUM(R6:R14)</f>
        <v>540</v>
      </c>
      <c r="S15" s="145">
        <f t="shared" si="4"/>
        <v>264</v>
      </c>
      <c r="T15" s="125">
        <f t="shared" si="4"/>
        <v>207</v>
      </c>
      <c r="U15" s="146">
        <f t="shared" si="4"/>
        <v>235</v>
      </c>
      <c r="V15" s="125">
        <f t="shared" si="4"/>
        <v>196</v>
      </c>
      <c r="W15" s="147">
        <f t="shared" si="4"/>
        <v>644</v>
      </c>
      <c r="X15" s="148">
        <f t="shared" si="4"/>
        <v>974</v>
      </c>
      <c r="Y15" s="147">
        <f t="shared" si="4"/>
        <v>330</v>
      </c>
      <c r="Z15" s="149">
        <f t="shared" si="4"/>
        <v>257920</v>
      </c>
      <c r="AA15"/>
      <c r="AB15"/>
    </row>
    <row r="16" spans="1:26" ht="15" customHeight="1">
      <c r="A16" s="42"/>
      <c r="B16" s="42"/>
      <c r="C16" s="42"/>
      <c r="D16" s="42"/>
      <c r="E16" s="42"/>
      <c r="F16" s="60"/>
      <c r="G16" s="42"/>
      <c r="H16" s="42"/>
      <c r="I16" s="61"/>
      <c r="J16" s="62"/>
      <c r="K16" s="42"/>
      <c r="L16" s="42"/>
      <c r="M16" s="61"/>
      <c r="N16" s="42"/>
      <c r="O16" s="42"/>
      <c r="P16" s="61"/>
      <c r="Q16" s="42"/>
      <c r="R16" s="42"/>
      <c r="S16" s="42"/>
      <c r="T16" s="42"/>
      <c r="U16" s="42"/>
      <c r="V16" s="42"/>
      <c r="W16" s="42"/>
      <c r="X16" s="63"/>
      <c r="Y16" s="42"/>
      <c r="Z16" s="42"/>
    </row>
    <row r="17" spans="1:28" s="10" customFormat="1" ht="15" customHeight="1">
      <c r="A17" s="13"/>
      <c r="B17" s="13"/>
      <c r="C17" s="13"/>
      <c r="D17" s="13" t="s">
        <v>40</v>
      </c>
      <c r="E17" s="13"/>
      <c r="F17" s="14"/>
      <c r="G17" s="13"/>
      <c r="H17" s="13"/>
      <c r="I17" s="15"/>
      <c r="J17" s="16"/>
      <c r="K17" s="13"/>
      <c r="L17" s="13"/>
      <c r="M17" s="15"/>
      <c r="N17" s="13"/>
      <c r="O17" s="13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/>
      <c r="AB17"/>
    </row>
    <row r="18" spans="1:26" ht="15" customHeight="1">
      <c r="A18" s="42"/>
      <c r="B18" s="42"/>
      <c r="C18" s="42"/>
      <c r="D18" s="42"/>
      <c r="E18" s="42"/>
      <c r="F18" s="60"/>
      <c r="G18" s="42"/>
      <c r="H18" s="42"/>
      <c r="I18" s="61"/>
      <c r="J18" s="62"/>
      <c r="K18" s="42"/>
      <c r="L18" s="42"/>
      <c r="M18" s="61"/>
      <c r="N18" s="42"/>
      <c r="O18" s="42"/>
      <c r="P18" s="61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8" s="7" customFormat="1" ht="15" customHeight="1">
      <c r="A19" s="100" t="s">
        <v>1</v>
      </c>
      <c r="B19" s="101" t="s">
        <v>2</v>
      </c>
      <c r="C19" s="79" t="s">
        <v>3</v>
      </c>
      <c r="D19" s="100" t="s">
        <v>41</v>
      </c>
      <c r="E19" s="79"/>
      <c r="F19" s="103" t="s">
        <v>42</v>
      </c>
      <c r="G19" s="79" t="s">
        <v>43</v>
      </c>
      <c r="H19" s="105" t="s">
        <v>6</v>
      </c>
      <c r="I19" s="79" t="s">
        <v>44</v>
      </c>
      <c r="J19" s="108"/>
      <c r="K19" s="79" t="s">
        <v>11</v>
      </c>
      <c r="L19" s="100" t="s">
        <v>12</v>
      </c>
      <c r="M19" s="79" t="s">
        <v>45</v>
      </c>
      <c r="N19" s="79" t="s">
        <v>46</v>
      </c>
      <c r="O19" s="79" t="s">
        <v>15</v>
      </c>
      <c r="P19" s="79" t="s">
        <v>47</v>
      </c>
      <c r="Q19" s="79" t="s">
        <v>17</v>
      </c>
      <c r="R19" s="79" t="s">
        <v>17</v>
      </c>
      <c r="S19" s="110" t="s">
        <v>48</v>
      </c>
      <c r="T19" s="52"/>
      <c r="U19" s="79" t="s">
        <v>49</v>
      </c>
      <c r="V19" s="79" t="s">
        <v>50</v>
      </c>
      <c r="W19" s="112" t="s">
        <v>3</v>
      </c>
      <c r="X19" s="100" t="s">
        <v>12</v>
      </c>
      <c r="Y19" s="49"/>
      <c r="Z19" s="112" t="s">
        <v>51</v>
      </c>
      <c r="AA19"/>
      <c r="AB19"/>
    </row>
    <row r="20" spans="1:28" s="7" customFormat="1" ht="15" customHeight="1">
      <c r="A20" s="75"/>
      <c r="B20" s="76"/>
      <c r="C20" s="76"/>
      <c r="D20" s="102" t="s">
        <v>4</v>
      </c>
      <c r="E20" s="80"/>
      <c r="F20" s="104" t="s">
        <v>4</v>
      </c>
      <c r="G20" s="80" t="s">
        <v>7</v>
      </c>
      <c r="H20" s="106" t="s">
        <v>43</v>
      </c>
      <c r="I20" s="80" t="s">
        <v>52</v>
      </c>
      <c r="J20" s="107"/>
      <c r="K20" s="76"/>
      <c r="L20" s="102" t="s">
        <v>23</v>
      </c>
      <c r="M20" s="80" t="s">
        <v>12</v>
      </c>
      <c r="N20" s="80" t="s">
        <v>53</v>
      </c>
      <c r="O20" s="80" t="s">
        <v>25</v>
      </c>
      <c r="P20" s="80" t="s">
        <v>27</v>
      </c>
      <c r="Q20" s="80" t="s">
        <v>26</v>
      </c>
      <c r="R20" s="80" t="s">
        <v>28</v>
      </c>
      <c r="S20" s="109" t="s">
        <v>54</v>
      </c>
      <c r="T20" s="111" t="s">
        <v>55</v>
      </c>
      <c r="U20" s="80" t="s">
        <v>56</v>
      </c>
      <c r="V20" s="80" t="s">
        <v>57</v>
      </c>
      <c r="W20" s="111" t="s">
        <v>58</v>
      </c>
      <c r="X20" s="102" t="s">
        <v>58</v>
      </c>
      <c r="Y20" s="77"/>
      <c r="Z20" s="80" t="s">
        <v>59</v>
      </c>
      <c r="AA20"/>
      <c r="AB20"/>
    </row>
    <row r="21" spans="1:26" ht="15" customHeight="1">
      <c r="A21">
        <f aca="true" t="shared" si="5" ref="A21:B29">A6</f>
        <v>21</v>
      </c>
      <c r="B21" s="21" t="str">
        <f t="shared" si="5"/>
        <v>Bouddha</v>
      </c>
      <c r="C21" s="64">
        <f aca="true" t="shared" si="6" ref="C21:C30">C6/A6</f>
        <v>12.333333333333334</v>
      </c>
      <c r="D21" s="6">
        <f aca="true" t="shared" si="7" ref="D21:D30">E6/A21</f>
        <v>12.285714285714286</v>
      </c>
      <c r="E21" s="66"/>
      <c r="F21" s="67">
        <f aca="true" t="shared" si="8" ref="F21:F30">(E6+H6)/A21</f>
        <v>12.285714285714286</v>
      </c>
      <c r="G21" s="66">
        <f aca="true" t="shared" si="9" ref="G21:G30">L6/A21</f>
        <v>1.6666666666666667</v>
      </c>
      <c r="H21" s="91">
        <f aca="true" t="shared" si="10" ref="H21:H30">(E6+H6+L6)/A21</f>
        <v>13.952380952380953</v>
      </c>
      <c r="I21" s="65">
        <f aca="true" t="shared" si="11" ref="I21:I30">O6/A21</f>
        <v>3.238095238095238</v>
      </c>
      <c r="J21" s="8"/>
      <c r="K21" s="81">
        <f aca="true" t="shared" si="12" ref="K21:K30">R6/A21</f>
        <v>2.4761904761904763</v>
      </c>
      <c r="L21" s="97">
        <f aca="true" t="shared" si="13" ref="L21:L30">S6/A21</f>
        <v>1.1904761904761905</v>
      </c>
      <c r="M21" s="81">
        <f aca="true" t="shared" si="14" ref="M21:M30">T6/A21</f>
        <v>1.380952380952381</v>
      </c>
      <c r="N21" s="97">
        <f aca="true" t="shared" si="15" ref="N21:N30">U6/A21</f>
        <v>0.7142857142857143</v>
      </c>
      <c r="O21" s="81">
        <f aca="true" t="shared" si="16" ref="O21:O30">V6/A21</f>
        <v>1.1428571428571428</v>
      </c>
      <c r="P21" s="9">
        <f aca="true" t="shared" si="17" ref="P21:P30">X6/A21</f>
        <v>2.857142857142857</v>
      </c>
      <c r="Q21" s="66">
        <f aca="true" t="shared" si="18" ref="Q21:Q30">W6/A21</f>
        <v>1.380952380952381</v>
      </c>
      <c r="R21" s="6">
        <f aca="true" t="shared" si="19" ref="R21:R30">Y6/A21</f>
        <v>1.4761904761904763</v>
      </c>
      <c r="S21" s="83">
        <f aca="true" t="shared" si="20" ref="S21:S29">INT((Z6/A6)/60)</f>
        <v>26</v>
      </c>
      <c r="T21" s="87">
        <f aca="true" t="shared" si="21" ref="T21:T29">MOD((Z6/A6),60)</f>
        <v>34.04761904761904</v>
      </c>
      <c r="U21" s="19">
        <f aca="true" t="shared" si="22" ref="U21:U30">((D6+G6+K6+N6)*2)+S6+U6+X6-R6-T6-V6-E6-H6-L6-O6</f>
        <v>-78</v>
      </c>
      <c r="V21" s="85">
        <f aca="true" t="shared" si="23" ref="V21:V30">((S6+U6-T6-V6)/Z6)*2400</f>
        <v>-0.9320388349514563</v>
      </c>
      <c r="W21" s="95">
        <f aca="true" t="shared" si="24" ref="W21:W30">(C6/Z6)*60</f>
        <v>0.46422703510082153</v>
      </c>
      <c r="X21" s="99">
        <f aca="true" t="shared" si="25" ref="X21:X30">(S6/Z6)*60</f>
        <v>0.044809559372666175</v>
      </c>
      <c r="Y21" s="89"/>
      <c r="Z21" s="113">
        <f aca="true" t="shared" si="26" ref="Z21:Z27">(D6*2+G6*2+K6*3)/(E6*2+H6*2+L6*2)</f>
        <v>0.378839590443686</v>
      </c>
    </row>
    <row r="22" spans="1:26" ht="15" customHeight="1">
      <c r="A22" s="20">
        <f t="shared" si="5"/>
        <v>20</v>
      </c>
      <c r="B22" s="21" t="str">
        <f t="shared" si="5"/>
        <v>Gillou</v>
      </c>
      <c r="C22" s="74">
        <f t="shared" si="6"/>
        <v>3.5</v>
      </c>
      <c r="D22" s="68">
        <f t="shared" si="7"/>
        <v>2.95</v>
      </c>
      <c r="E22" s="69"/>
      <c r="F22" s="70">
        <f t="shared" si="8"/>
        <v>2.95</v>
      </c>
      <c r="G22" s="69">
        <f t="shared" si="9"/>
        <v>0.05</v>
      </c>
      <c r="H22" s="73">
        <f t="shared" si="10"/>
        <v>3</v>
      </c>
      <c r="I22" s="78">
        <f t="shared" si="11"/>
        <v>1.85</v>
      </c>
      <c r="J22" s="71"/>
      <c r="K22" s="82">
        <f t="shared" si="12"/>
        <v>2.4</v>
      </c>
      <c r="L22" s="96">
        <f t="shared" si="13"/>
        <v>0.95</v>
      </c>
      <c r="M22" s="82">
        <f t="shared" si="14"/>
        <v>0.6</v>
      </c>
      <c r="N22" s="96">
        <f t="shared" si="15"/>
        <v>0.7</v>
      </c>
      <c r="O22" s="82">
        <f t="shared" si="16"/>
        <v>0.7</v>
      </c>
      <c r="P22" s="72">
        <f t="shared" si="17"/>
        <v>1.95</v>
      </c>
      <c r="Q22" s="98">
        <f t="shared" si="18"/>
        <v>1.35</v>
      </c>
      <c r="R22" s="68">
        <f t="shared" si="19"/>
        <v>0.6</v>
      </c>
      <c r="S22" s="84">
        <f t="shared" si="20"/>
        <v>10</v>
      </c>
      <c r="T22" s="88">
        <f t="shared" si="21"/>
        <v>41</v>
      </c>
      <c r="U22" s="54">
        <f t="shared" si="22"/>
        <v>-11</v>
      </c>
      <c r="V22" s="86">
        <f t="shared" si="23"/>
        <v>1.3104524180967239</v>
      </c>
      <c r="W22" s="93">
        <f t="shared" si="24"/>
        <v>0.32761310452418096</v>
      </c>
      <c r="X22" s="92">
        <f t="shared" si="25"/>
        <v>0.0889235569422777</v>
      </c>
      <c r="Y22" s="89"/>
      <c r="Z22" s="114">
        <f t="shared" si="26"/>
        <v>0.43333333333333335</v>
      </c>
    </row>
    <row r="23" spans="1:26" ht="15" customHeight="1">
      <c r="A23" s="20">
        <f t="shared" si="5"/>
        <v>21</v>
      </c>
      <c r="B23" s="21" t="str">
        <f t="shared" si="5"/>
        <v>Max</v>
      </c>
      <c r="C23" s="74">
        <f t="shared" si="6"/>
        <v>8.523809523809524</v>
      </c>
      <c r="D23" s="68">
        <f t="shared" si="7"/>
        <v>3.4285714285714284</v>
      </c>
      <c r="E23" s="69"/>
      <c r="F23" s="70">
        <f t="shared" si="8"/>
        <v>3.4285714285714284</v>
      </c>
      <c r="G23" s="69">
        <f t="shared" si="9"/>
        <v>3.5238095238095237</v>
      </c>
      <c r="H23" s="73">
        <f t="shared" si="10"/>
        <v>6.9523809523809526</v>
      </c>
      <c r="I23" s="78">
        <f t="shared" si="11"/>
        <v>3.9523809523809526</v>
      </c>
      <c r="J23" s="151"/>
      <c r="K23" s="82">
        <f t="shared" si="12"/>
        <v>3.6666666666666665</v>
      </c>
      <c r="L23" s="96">
        <f t="shared" si="13"/>
        <v>2.8095238095238093</v>
      </c>
      <c r="M23" s="82">
        <f t="shared" si="14"/>
        <v>1.5238095238095237</v>
      </c>
      <c r="N23" s="96">
        <f t="shared" si="15"/>
        <v>0.9047619047619048</v>
      </c>
      <c r="O23" s="82">
        <f t="shared" si="16"/>
        <v>1.3333333333333333</v>
      </c>
      <c r="P23" s="72">
        <f t="shared" si="17"/>
        <v>1.5238095238095237</v>
      </c>
      <c r="Q23" s="98">
        <f t="shared" si="18"/>
        <v>1.2380952380952381</v>
      </c>
      <c r="R23" s="68">
        <f t="shared" si="19"/>
        <v>0.2857142857142857</v>
      </c>
      <c r="S23" s="84">
        <f t="shared" si="20"/>
        <v>28</v>
      </c>
      <c r="T23" s="88">
        <f t="shared" si="21"/>
        <v>54.04761904761904</v>
      </c>
      <c r="U23" s="54">
        <f t="shared" si="22"/>
        <v>-44</v>
      </c>
      <c r="V23" s="86">
        <f t="shared" si="23"/>
        <v>1.1863243169023754</v>
      </c>
      <c r="W23" s="93">
        <f t="shared" si="24"/>
        <v>0.29493340656322947</v>
      </c>
      <c r="X23" s="92">
        <f t="shared" si="25"/>
        <v>0.0972126870795002</v>
      </c>
      <c r="Y23" s="89"/>
      <c r="Z23" s="114">
        <f t="shared" si="26"/>
        <v>0.4452054794520548</v>
      </c>
    </row>
    <row r="24" spans="1:26" ht="15" customHeight="1">
      <c r="A24" s="20">
        <f t="shared" si="5"/>
        <v>22</v>
      </c>
      <c r="B24" s="21" t="str">
        <f t="shared" si="5"/>
        <v>Franck</v>
      </c>
      <c r="C24" s="74">
        <f t="shared" si="6"/>
        <v>17.227272727272727</v>
      </c>
      <c r="D24" s="68">
        <f t="shared" si="7"/>
        <v>15.5</v>
      </c>
      <c r="E24" s="69"/>
      <c r="F24" s="70">
        <f t="shared" si="8"/>
        <v>15.5</v>
      </c>
      <c r="G24" s="69">
        <f t="shared" si="9"/>
        <v>0.45454545454545453</v>
      </c>
      <c r="H24" s="73">
        <f t="shared" si="10"/>
        <v>15.954545454545455</v>
      </c>
      <c r="I24" s="78">
        <f t="shared" si="11"/>
        <v>5.863636363636363</v>
      </c>
      <c r="J24" s="71"/>
      <c r="K24" s="82">
        <f t="shared" si="12"/>
        <v>3.6818181818181817</v>
      </c>
      <c r="L24" s="96">
        <f t="shared" si="13"/>
        <v>2.3181818181818183</v>
      </c>
      <c r="M24" s="82">
        <f t="shared" si="14"/>
        <v>1.1818181818181819</v>
      </c>
      <c r="N24" s="96">
        <f t="shared" si="15"/>
        <v>1.9090909090909092</v>
      </c>
      <c r="O24" s="82">
        <f t="shared" si="16"/>
        <v>0.9090909090909091</v>
      </c>
      <c r="P24" s="72">
        <f t="shared" si="17"/>
        <v>5.636363636363637</v>
      </c>
      <c r="Q24" s="98">
        <f t="shared" si="18"/>
        <v>2.272727272727273</v>
      </c>
      <c r="R24" s="68">
        <f t="shared" si="19"/>
        <v>3.3636363636363638</v>
      </c>
      <c r="S24" s="84">
        <f t="shared" si="20"/>
        <v>35</v>
      </c>
      <c r="T24" s="88">
        <f t="shared" si="21"/>
        <v>21.136363636363512</v>
      </c>
      <c r="U24" s="54">
        <f t="shared" si="22"/>
        <v>62</v>
      </c>
      <c r="V24" s="86">
        <f t="shared" si="23"/>
        <v>2.4172291867566695</v>
      </c>
      <c r="W24" s="93">
        <f t="shared" si="24"/>
        <v>0.48730311796849884</v>
      </c>
      <c r="X24" s="92">
        <f t="shared" si="25"/>
        <v>0.06557377049180328</v>
      </c>
      <c r="Y24" s="89"/>
      <c r="Z24" s="114">
        <f t="shared" si="26"/>
        <v>0.43162393162393164</v>
      </c>
    </row>
    <row r="25" spans="1:26" ht="15" customHeight="1">
      <c r="A25" s="20">
        <f t="shared" si="5"/>
        <v>22</v>
      </c>
      <c r="B25" s="21" t="str">
        <f t="shared" si="5"/>
        <v>Jérôme</v>
      </c>
      <c r="C25" s="74">
        <f t="shared" si="6"/>
        <v>16.136363636363637</v>
      </c>
      <c r="D25" s="68">
        <f t="shared" si="7"/>
        <v>11.818181818181818</v>
      </c>
      <c r="E25" s="69"/>
      <c r="F25" s="70">
        <f t="shared" si="8"/>
        <v>11.818181818181818</v>
      </c>
      <c r="G25" s="69">
        <f t="shared" si="9"/>
        <v>0.045454545454545456</v>
      </c>
      <c r="H25" s="73">
        <f t="shared" si="10"/>
        <v>11.863636363636363</v>
      </c>
      <c r="I25" s="78">
        <f t="shared" si="11"/>
        <v>8</v>
      </c>
      <c r="J25" s="71"/>
      <c r="K25" s="82">
        <f t="shared" si="12"/>
        <v>4.454545454545454</v>
      </c>
      <c r="L25" s="96">
        <f t="shared" si="13"/>
        <v>1.5909090909090908</v>
      </c>
      <c r="M25" s="82">
        <f t="shared" si="14"/>
        <v>1.8636363636363635</v>
      </c>
      <c r="N25" s="96">
        <f t="shared" si="15"/>
        <v>3.090909090909091</v>
      </c>
      <c r="O25" s="82">
        <f t="shared" si="16"/>
        <v>1.7272727272727273</v>
      </c>
      <c r="P25" s="72">
        <f t="shared" si="17"/>
        <v>12.818181818181818</v>
      </c>
      <c r="Q25" s="98">
        <f t="shared" si="18"/>
        <v>9.136363636363637</v>
      </c>
      <c r="R25" s="68">
        <f t="shared" si="19"/>
        <v>3.6818181818181817</v>
      </c>
      <c r="S25" s="84">
        <f t="shared" si="20"/>
        <v>31</v>
      </c>
      <c r="T25" s="88">
        <f t="shared" si="21"/>
        <v>40.90909090909099</v>
      </c>
      <c r="U25" s="54">
        <f t="shared" si="22"/>
        <v>199</v>
      </c>
      <c r="V25" s="86">
        <f t="shared" si="23"/>
        <v>1.3773314203730271</v>
      </c>
      <c r="W25" s="93">
        <f t="shared" si="24"/>
        <v>0.5093256814921091</v>
      </c>
      <c r="X25" s="94">
        <f t="shared" si="25"/>
        <v>0.05021520803443329</v>
      </c>
      <c r="Y25" s="89"/>
      <c r="Z25" s="114">
        <f t="shared" si="26"/>
        <v>0.5402298850574713</v>
      </c>
    </row>
    <row r="26" spans="1:26" ht="15" customHeight="1">
      <c r="A26" s="20">
        <f t="shared" si="5"/>
        <v>4</v>
      </c>
      <c r="B26" s="21" t="str">
        <f t="shared" si="5"/>
        <v>Thierry</v>
      </c>
      <c r="C26" s="74">
        <f t="shared" si="6"/>
        <v>3.75</v>
      </c>
      <c r="D26" s="68">
        <f t="shared" si="7"/>
        <v>1.5</v>
      </c>
      <c r="E26" s="69"/>
      <c r="F26" s="70">
        <f t="shared" si="8"/>
        <v>1.5</v>
      </c>
      <c r="G26" s="69">
        <f t="shared" si="9"/>
        <v>2</v>
      </c>
      <c r="H26" s="73">
        <f t="shared" si="10"/>
        <v>3.5</v>
      </c>
      <c r="I26" s="78">
        <f t="shared" si="11"/>
        <v>0.75</v>
      </c>
      <c r="J26" s="71"/>
      <c r="K26" s="82">
        <f t="shared" si="12"/>
        <v>1</v>
      </c>
      <c r="L26" s="96">
        <f t="shared" si="13"/>
        <v>0</v>
      </c>
      <c r="M26" s="82">
        <f t="shared" si="14"/>
        <v>0.25</v>
      </c>
      <c r="N26" s="96">
        <f t="shared" si="15"/>
        <v>1</v>
      </c>
      <c r="O26" s="82">
        <f t="shared" si="16"/>
        <v>1.25</v>
      </c>
      <c r="P26" s="72">
        <f t="shared" si="17"/>
        <v>0.5</v>
      </c>
      <c r="Q26" s="98">
        <f t="shared" si="18"/>
        <v>0.5</v>
      </c>
      <c r="R26" s="68">
        <f t="shared" si="19"/>
        <v>0</v>
      </c>
      <c r="S26" s="84">
        <f t="shared" si="20"/>
        <v>11</v>
      </c>
      <c r="T26" s="88">
        <f t="shared" si="21"/>
        <v>58.75</v>
      </c>
      <c r="U26" s="54">
        <f t="shared" si="22"/>
        <v>-7</v>
      </c>
      <c r="V26" s="86">
        <f t="shared" si="23"/>
        <v>-1.6695652173913045</v>
      </c>
      <c r="W26" s="93">
        <f t="shared" si="24"/>
        <v>0.3130434782608696</v>
      </c>
      <c r="X26" s="94">
        <f t="shared" si="25"/>
        <v>0</v>
      </c>
      <c r="Y26" s="89"/>
      <c r="Z26" s="114">
        <f t="shared" si="26"/>
        <v>0.4642857142857143</v>
      </c>
    </row>
    <row r="27" spans="1:26" ht="15" customHeight="1">
      <c r="A27" s="20">
        <f t="shared" si="5"/>
        <v>14</v>
      </c>
      <c r="B27" s="21" t="str">
        <f t="shared" si="5"/>
        <v>Martial</v>
      </c>
      <c r="C27" s="74">
        <f t="shared" si="6"/>
        <v>3.0714285714285716</v>
      </c>
      <c r="D27" s="68">
        <f t="shared" si="7"/>
        <v>3.4285714285714284</v>
      </c>
      <c r="E27" s="69"/>
      <c r="F27" s="70">
        <f t="shared" si="8"/>
        <v>3.4285714285714284</v>
      </c>
      <c r="G27" s="69">
        <f t="shared" si="9"/>
        <v>0</v>
      </c>
      <c r="H27" s="73">
        <f t="shared" si="10"/>
        <v>3.4285714285714284</v>
      </c>
      <c r="I27" s="78">
        <f t="shared" si="11"/>
        <v>1.0714285714285714</v>
      </c>
      <c r="J27" s="71"/>
      <c r="K27" s="82">
        <f t="shared" si="12"/>
        <v>2.142857142857143</v>
      </c>
      <c r="L27" s="96">
        <f t="shared" si="13"/>
        <v>0.5</v>
      </c>
      <c r="M27" s="82">
        <f t="shared" si="14"/>
        <v>0.35714285714285715</v>
      </c>
      <c r="N27" s="96">
        <f t="shared" si="15"/>
        <v>0.5</v>
      </c>
      <c r="O27" s="82">
        <f t="shared" si="16"/>
        <v>0.8571428571428571</v>
      </c>
      <c r="P27" s="72">
        <f t="shared" si="17"/>
        <v>4.071428571428571</v>
      </c>
      <c r="Q27" s="98">
        <f t="shared" si="18"/>
        <v>3.4285714285714284</v>
      </c>
      <c r="R27" s="68">
        <f t="shared" si="19"/>
        <v>0.6428571428571429</v>
      </c>
      <c r="S27" s="84">
        <f t="shared" si="20"/>
        <v>14</v>
      </c>
      <c r="T27" s="88">
        <f t="shared" si="21"/>
        <v>1.7857142857143344</v>
      </c>
      <c r="U27" s="54">
        <f t="shared" si="22"/>
        <v>13</v>
      </c>
      <c r="V27" s="86">
        <f t="shared" si="23"/>
        <v>-0.6109461179465422</v>
      </c>
      <c r="W27" s="93">
        <f t="shared" si="24"/>
        <v>0.21892235893084427</v>
      </c>
      <c r="X27" s="92">
        <f t="shared" si="25"/>
        <v>0.03563852354688163</v>
      </c>
      <c r="Y27" s="89"/>
      <c r="Z27" s="114">
        <f t="shared" si="26"/>
        <v>0.3541666666666667</v>
      </c>
    </row>
    <row r="28" spans="1:26" ht="15" customHeight="1">
      <c r="A28" s="20">
        <f t="shared" si="5"/>
        <v>20</v>
      </c>
      <c r="B28" s="21" t="str">
        <f t="shared" si="5"/>
        <v>Gilles</v>
      </c>
      <c r="C28" s="74">
        <f t="shared" si="6"/>
        <v>6</v>
      </c>
      <c r="D28" s="68">
        <f t="shared" si="7"/>
        <v>5.2</v>
      </c>
      <c r="E28" s="69"/>
      <c r="F28" s="70">
        <f t="shared" si="8"/>
        <v>5.2</v>
      </c>
      <c r="G28" s="69">
        <f t="shared" si="9"/>
        <v>0.05</v>
      </c>
      <c r="H28" s="73">
        <f t="shared" si="10"/>
        <v>5.25</v>
      </c>
      <c r="I28" s="78">
        <f t="shared" si="11"/>
        <v>2.7</v>
      </c>
      <c r="J28" s="71"/>
      <c r="K28" s="82">
        <f t="shared" si="12"/>
        <v>3.6</v>
      </c>
      <c r="L28" s="96">
        <f t="shared" si="13"/>
        <v>2.05</v>
      </c>
      <c r="M28" s="82">
        <f t="shared" si="14"/>
        <v>1.7</v>
      </c>
      <c r="N28" s="96">
        <f t="shared" si="15"/>
        <v>1.85</v>
      </c>
      <c r="O28" s="82">
        <f t="shared" si="16"/>
        <v>1.65</v>
      </c>
      <c r="P28" s="72">
        <f t="shared" si="17"/>
        <v>4.05</v>
      </c>
      <c r="Q28" s="98">
        <f t="shared" si="18"/>
        <v>2.85</v>
      </c>
      <c r="R28" s="68">
        <f t="shared" si="19"/>
        <v>1.2</v>
      </c>
      <c r="S28" s="84">
        <f t="shared" si="20"/>
        <v>21</v>
      </c>
      <c r="T28" s="88">
        <f t="shared" si="21"/>
        <v>41.25</v>
      </c>
      <c r="U28" s="54">
        <f t="shared" si="22"/>
        <v>1</v>
      </c>
      <c r="V28" s="86">
        <f t="shared" si="23"/>
        <v>1.0144092219020173</v>
      </c>
      <c r="W28" s="93">
        <f t="shared" si="24"/>
        <v>0.276657060518732</v>
      </c>
      <c r="X28" s="92">
        <f t="shared" si="25"/>
        <v>0.09452449567723342</v>
      </c>
      <c r="Y28" s="89"/>
      <c r="Z28" s="114">
        <f>((D13*2)+(G13*2)+(K13*3))/((E13*2)+(H13*2)+(L13*2))</f>
        <v>0.47619047619047616</v>
      </c>
    </row>
    <row r="29" spans="1:26" ht="15" customHeight="1" thickBot="1">
      <c r="A29" s="20">
        <f t="shared" si="5"/>
        <v>21</v>
      </c>
      <c r="B29" s="21" t="str">
        <f t="shared" si="5"/>
        <v>Babu</v>
      </c>
      <c r="C29" s="74">
        <f t="shared" si="6"/>
        <v>15.952380952380953</v>
      </c>
      <c r="D29" s="68">
        <f t="shared" si="7"/>
        <v>12.333333333333334</v>
      </c>
      <c r="E29" s="69"/>
      <c r="F29" s="70">
        <f t="shared" si="8"/>
        <v>12.333333333333334</v>
      </c>
      <c r="G29" s="69">
        <f t="shared" si="9"/>
        <v>0</v>
      </c>
      <c r="H29" s="73">
        <f t="shared" si="10"/>
        <v>12.333333333333334</v>
      </c>
      <c r="I29" s="78">
        <f t="shared" si="11"/>
        <v>7.142857142857143</v>
      </c>
      <c r="J29" s="71"/>
      <c r="K29" s="82">
        <f t="shared" si="12"/>
        <v>3.7142857142857144</v>
      </c>
      <c r="L29" s="96">
        <f t="shared" si="13"/>
        <v>1.2857142857142858</v>
      </c>
      <c r="M29" s="82">
        <f t="shared" si="14"/>
        <v>1.2857142857142858</v>
      </c>
      <c r="N29" s="96">
        <f t="shared" si="15"/>
        <v>1.380952380952381</v>
      </c>
      <c r="O29" s="82">
        <f t="shared" si="16"/>
        <v>1.0476190476190477</v>
      </c>
      <c r="P29" s="72">
        <f t="shared" si="17"/>
        <v>14.142857142857142</v>
      </c>
      <c r="Q29" s="98">
        <f t="shared" si="18"/>
        <v>9.714285714285714</v>
      </c>
      <c r="R29" s="68">
        <f t="shared" si="19"/>
        <v>4.428571428571429</v>
      </c>
      <c r="S29" s="84">
        <f t="shared" si="20"/>
        <v>36</v>
      </c>
      <c r="T29" s="88">
        <f t="shared" si="21"/>
        <v>32.380952380952294</v>
      </c>
      <c r="U29" s="54">
        <f t="shared" si="22"/>
        <v>245</v>
      </c>
      <c r="V29" s="86">
        <f t="shared" si="23"/>
        <v>0.3649000868809731</v>
      </c>
      <c r="W29" s="93">
        <f t="shared" si="24"/>
        <v>0.4365768896611642</v>
      </c>
      <c r="X29" s="92">
        <f t="shared" si="25"/>
        <v>0.03518679409209383</v>
      </c>
      <c r="Y29" s="89"/>
      <c r="Z29" s="114">
        <f>(D14*2+G14*2+K14*3)/(E14*2+H14*2+L14*2)</f>
        <v>0.4671814671814672</v>
      </c>
    </row>
    <row r="30" spans="1:28" s="1" customFormat="1" ht="24" customHeight="1">
      <c r="A30" s="116">
        <f>A15</f>
        <v>22</v>
      </c>
      <c r="B30" s="117" t="s">
        <v>39</v>
      </c>
      <c r="C30" s="118">
        <f t="shared" si="6"/>
        <v>79.77272727272727</v>
      </c>
      <c r="D30" s="119">
        <f t="shared" si="7"/>
        <v>63.95454545454545</v>
      </c>
      <c r="E30" s="120"/>
      <c r="F30" s="121">
        <f t="shared" si="8"/>
        <v>63.95454545454545</v>
      </c>
      <c r="G30" s="120">
        <f t="shared" si="9"/>
        <v>5.909090909090909</v>
      </c>
      <c r="H30" s="122">
        <f t="shared" si="10"/>
        <v>69.86363636363636</v>
      </c>
      <c r="I30" s="123">
        <f t="shared" si="11"/>
        <v>32.5</v>
      </c>
      <c r="J30" s="124"/>
      <c r="K30" s="126">
        <f t="shared" si="12"/>
        <v>24.545454545454547</v>
      </c>
      <c r="L30" s="135">
        <f t="shared" si="13"/>
        <v>12</v>
      </c>
      <c r="M30" s="126">
        <f t="shared" si="14"/>
        <v>9.409090909090908</v>
      </c>
      <c r="N30" s="135">
        <f t="shared" si="15"/>
        <v>10.681818181818182</v>
      </c>
      <c r="O30" s="150">
        <f t="shared" si="16"/>
        <v>8.909090909090908</v>
      </c>
      <c r="P30" s="127">
        <f t="shared" si="17"/>
        <v>44.27272727272727</v>
      </c>
      <c r="Q30" s="136">
        <f t="shared" si="18"/>
        <v>29.272727272727273</v>
      </c>
      <c r="R30" s="119">
        <f t="shared" si="19"/>
        <v>15</v>
      </c>
      <c r="S30" s="129"/>
      <c r="T30" s="130"/>
      <c r="U30" s="131">
        <f t="shared" si="22"/>
        <v>380</v>
      </c>
      <c r="V30" s="132">
        <f t="shared" si="23"/>
        <v>0.8933002481389578</v>
      </c>
      <c r="W30" s="134">
        <f t="shared" si="24"/>
        <v>0.40826612903225806</v>
      </c>
      <c r="X30" s="133">
        <f t="shared" si="25"/>
        <v>0.06141439205955335</v>
      </c>
      <c r="Y30" s="90"/>
      <c r="Z30" s="115">
        <f>(D15*2+G15*2+K15*3)/(E15*2+H15*2+L15*2)</f>
        <v>0.4482758620689655</v>
      </c>
      <c r="AA30"/>
      <c r="AB30"/>
    </row>
    <row r="31" spans="19:20" ht="12.75">
      <c r="S31" s="11"/>
      <c r="T31" s="11"/>
    </row>
  </sheetData>
  <printOptions gridLines="1" horizontalCentered="1" verticalCentered="1"/>
  <pageMargins left="0.42" right="0.7874015748031497" top="0.984251968503937" bottom="0.984251968503937" header="0.5118110236220472" footer="0.5118110236220472"/>
  <pageSetup horizontalDpi="300" verticalDpi="300" orientation="landscape" pageOrder="overThenDown" paperSize="9" scale="81" r:id="rId1"/>
  <headerFooter alignWithMargins="0">
    <oddHeader>&amp;C&amp;"Arial Rounded MT Bold,Italique gras"&amp;UStatistiques générales et moyennes des joueurs&amp;R&amp;D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7" sqref="F17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statistiques équipe 1</dc:subject>
  <dc:creator>AGENCE DE BASSIN RMC</dc:creator>
  <cp:keywords/>
  <dc:description/>
  <cp:lastModifiedBy>Duchampt</cp:lastModifiedBy>
  <cp:lastPrinted>2005-04-27T09:40:39Z</cp:lastPrinted>
  <dcterms:modified xsi:type="dcterms:W3CDTF">2005-04-27T09:40:45Z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-1748684010</vt:i4>
  </property>
  <property fmtid="{D5CDD505-2E9C-101B-9397-08002B2CF9AE}" pid="4" name="_EmailSubje">
    <vt:lpwstr/>
  </property>
  <property fmtid="{D5CDD505-2E9C-101B-9397-08002B2CF9AE}" pid="5" name="_AuthorEma">
    <vt:lpwstr>Patrice.DUCHAMPT@eaurmc.fr</vt:lpwstr>
  </property>
  <property fmtid="{D5CDD505-2E9C-101B-9397-08002B2CF9AE}" pid="6" name="_AuthorEmailDisplayNa">
    <vt:lpwstr>DUCHAMPT Patrice</vt:lpwstr>
  </property>
</Properties>
</file>