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45" windowHeight="5385" tabRatio="628" activeTab="0"/>
  </bookViews>
  <sheets>
    <sheet name="stats" sheetId="1" r:id="rId1"/>
    <sheet name="Adresse raquette" sheetId="2" r:id="rId2"/>
    <sheet name="Adresse mi-distance" sheetId="3" r:id="rId3"/>
    <sheet name="Adresse 2 points" sheetId="4" r:id="rId4"/>
    <sheet name="Adresse 3 points" sheetId="5" r:id="rId5"/>
    <sheet name="Adresse lancers" sheetId="6" r:id="rId6"/>
    <sheet name="Moy.Points" sheetId="7" r:id="rId7"/>
    <sheet name="Tickets shoots" sheetId="8" r:id="rId8"/>
    <sheet name="Rebonds total" sheetId="9" r:id="rId9"/>
    <sheet name="Rebonds" sheetId="10" r:id="rId10"/>
    <sheet name="Feuil2" sheetId="11" state="hidden" r:id="rId11"/>
    <sheet name="Inter-PB" sheetId="12" r:id="rId12"/>
    <sheet name="Fautes" sheetId="13" r:id="rId13"/>
    <sheet name="Fautes-FP" sheetId="14" r:id="rId14"/>
    <sheet name="Passes" sheetId="15" r:id="rId15"/>
    <sheet name="Note" sheetId="16" r:id="rId16"/>
    <sheet name="Mains d'or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DUCHAMPT</author>
  </authors>
  <commentList>
    <comment ref="AA14" authorId="0">
      <text>
        <r>
          <rPr>
            <b/>
            <sz val="8"/>
            <rFont val="Tahoma"/>
            <family val="0"/>
          </rPr>
          <t>Manque contres 93/94 et 94/95</t>
        </r>
      </text>
    </comment>
    <comment ref="AA15" authorId="0">
      <text>
        <r>
          <rPr>
            <b/>
            <sz val="8"/>
            <rFont val="Tahoma"/>
            <family val="0"/>
          </rPr>
          <t>Manque contres 93/94 et 94/95</t>
        </r>
      </text>
    </comment>
    <comment ref="AA21" authorId="0">
      <text>
        <r>
          <rPr>
            <b/>
            <sz val="8"/>
            <rFont val="Tahoma"/>
            <family val="0"/>
          </rPr>
          <t>Manque contres 93/94</t>
        </r>
      </text>
    </comment>
    <comment ref="R14" authorId="0">
      <text>
        <r>
          <rPr>
            <b/>
            <sz val="8"/>
            <rFont val="Tahoma"/>
            <family val="0"/>
          </rPr>
          <t>Fautes provoquées 90/91 sur 8 matches seulement</t>
        </r>
      </text>
    </comment>
    <comment ref="R15" authorId="0">
      <text>
        <r>
          <rPr>
            <b/>
            <sz val="8"/>
            <rFont val="Tahoma"/>
            <family val="0"/>
          </rPr>
          <t>Fautes provoquées 90/91 sur 8 matches seulement</t>
        </r>
      </text>
    </comment>
    <comment ref="R19" authorId="0">
      <text>
        <r>
          <rPr>
            <b/>
            <sz val="8"/>
            <rFont val="Tahoma"/>
            <family val="0"/>
          </rPr>
          <t>Fautes provoquées 90/91 sur 8 matches seulement</t>
        </r>
      </text>
    </comment>
    <comment ref="R20" authorId="0">
      <text>
        <r>
          <rPr>
            <b/>
            <sz val="8"/>
            <rFont val="Tahoma"/>
            <family val="0"/>
          </rPr>
          <t>Fautes provoquées 90/91 sur 8 matches seulement</t>
        </r>
      </text>
    </comment>
    <comment ref="R21" authorId="0">
      <text>
        <r>
          <rPr>
            <b/>
            <sz val="8"/>
            <rFont val="Tahoma"/>
            <family val="0"/>
          </rPr>
          <t>Fautes provoquées 90/91 sur 8 matches seulement</t>
        </r>
      </text>
    </comment>
    <comment ref="R23" authorId="0">
      <text>
        <r>
          <rPr>
            <b/>
            <sz val="8"/>
            <rFont val="Tahoma"/>
            <family val="0"/>
          </rPr>
          <t>Fautes provoquées 90/91 sur 8 matches seulement</t>
        </r>
      </text>
    </comment>
    <comment ref="R24" authorId="0">
      <text>
        <r>
          <rPr>
            <b/>
            <sz val="8"/>
            <rFont val="Tahoma"/>
            <family val="0"/>
          </rPr>
          <t>Fautes provoquées 90/91 sur 8 matches seulement</t>
        </r>
      </text>
    </comment>
    <comment ref="R30" authorId="0">
      <text>
        <r>
          <rPr>
            <b/>
            <sz val="8"/>
            <rFont val="Tahoma"/>
            <family val="0"/>
          </rPr>
          <t>Fautes provoquées 90/91 sur 8 matches seulement</t>
        </r>
      </text>
    </comment>
    <comment ref="R31" authorId="0">
      <text>
        <r>
          <rPr>
            <b/>
            <sz val="8"/>
            <rFont val="Tahoma"/>
            <family val="0"/>
          </rPr>
          <t>Fautes provoquées 90/91 sur 8 matches seulement</t>
        </r>
      </text>
    </comment>
  </commentList>
</comments>
</file>

<file path=xl/sharedStrings.xml><?xml version="1.0" encoding="utf-8"?>
<sst xmlns="http://schemas.openxmlformats.org/spreadsheetml/2006/main" count="91" uniqueCount="83">
  <si>
    <t>Joués</t>
  </si>
  <si>
    <t>Points</t>
  </si>
  <si>
    <t>Tirs raquette                 réussis</t>
  </si>
  <si>
    <t>Tirs raquette               tentés</t>
  </si>
  <si>
    <t>%  raquette</t>
  </si>
  <si>
    <t>Mi-dist. réussis</t>
  </si>
  <si>
    <t>Mi-dist. tentés</t>
  </si>
  <si>
    <t>% à  mi-distance</t>
  </si>
  <si>
    <t>3 pts réussis</t>
  </si>
  <si>
    <t>3 pts tentés</t>
  </si>
  <si>
    <t>% à  3 pts</t>
  </si>
  <si>
    <t>L.F. réussis</t>
  </si>
  <si>
    <t>L.F. tentés</t>
  </si>
  <si>
    <t xml:space="preserve">  %                    Lancers</t>
  </si>
  <si>
    <t>Fautes provoq</t>
  </si>
  <si>
    <t>Fautes</t>
  </si>
  <si>
    <t>Passes décisi.</t>
  </si>
  <si>
    <t>Mauv. passes</t>
  </si>
  <si>
    <t>Interceptions</t>
  </si>
  <si>
    <t>Pertes balle</t>
  </si>
  <si>
    <t>Rbds  déf</t>
  </si>
  <si>
    <t>Rbds total</t>
  </si>
  <si>
    <t>Rbds off</t>
  </si>
  <si>
    <t>Con-tres</t>
  </si>
  <si>
    <t>Secondes jouées</t>
  </si>
  <si>
    <t>Tirs raquette tentés</t>
  </si>
  <si>
    <t>Tirs mi-dist. tentés</t>
  </si>
  <si>
    <t>Total Tirs 2 points tentés</t>
  </si>
  <si>
    <t>Tirs 3 points tentés</t>
  </si>
  <si>
    <t>Total tirs tentés</t>
  </si>
  <si>
    <t>Lancers-francs tentés</t>
  </si>
  <si>
    <t>Fautes provoquées</t>
  </si>
  <si>
    <t>Mauvaises passes</t>
  </si>
  <si>
    <t>Interc eptions</t>
  </si>
  <si>
    <t>Pertes de balle</t>
  </si>
  <si>
    <t>Rebonds total</t>
  </si>
  <si>
    <t>Rbds déf</t>
  </si>
  <si>
    <t>Temps de jeu minutes sec.</t>
  </si>
  <si>
    <t>Note joueur</t>
  </si>
  <si>
    <t>"Mains d'Or"</t>
  </si>
  <si>
    <t>Pts / mn</t>
  </si>
  <si>
    <t>Note/ match</t>
  </si>
  <si>
    <t>TOTAL</t>
  </si>
  <si>
    <t>Adresse globale</t>
  </si>
  <si>
    <t>STATISTIQUES GENERALES</t>
  </si>
  <si>
    <t>STATISTIQUES MOYENNES</t>
  </si>
  <si>
    <t>Joueurs</t>
  </si>
  <si>
    <t>Vignau Alain</t>
  </si>
  <si>
    <t>Lathuilière Cédric</t>
  </si>
  <si>
    <t>Condemine Didier</t>
  </si>
  <si>
    <t>Nbre saisons</t>
  </si>
  <si>
    <t>Mathon Fred</t>
  </si>
  <si>
    <t>Ducrot Gilles</t>
  </si>
  <si>
    <t>Evtimov Ilia</t>
  </si>
  <si>
    <t>Sanchez Michel</t>
  </si>
  <si>
    <t>Grosset Olivier</t>
  </si>
  <si>
    <t>Girin Philippe</t>
  </si>
  <si>
    <t>Mathon Stéphane</t>
  </si>
  <si>
    <t>Ducrot Franck</t>
  </si>
  <si>
    <t>Lapalu Gérard</t>
  </si>
  <si>
    <t>Geoffray Didier</t>
  </si>
  <si>
    <t>Geoffray Max</t>
  </si>
  <si>
    <t>Geoffray Martial</t>
  </si>
  <si>
    <t>Paris Gilles</t>
  </si>
  <si>
    <t>Paris Jérôme</t>
  </si>
  <si>
    <t>Copéret Gilles</t>
  </si>
  <si>
    <t>Scomparin Joël</t>
  </si>
  <si>
    <t>Souzy Paul</t>
  </si>
  <si>
    <t>Botteron Christophe</t>
  </si>
  <si>
    <t>Poncet Stéphane</t>
  </si>
  <si>
    <t>Dupont Franck</t>
  </si>
  <si>
    <t>Camara Mickaël</t>
  </si>
  <si>
    <t>Loron Fred</t>
  </si>
  <si>
    <t>Botton Fred</t>
  </si>
  <si>
    <t>Charpentier Virgile</t>
  </si>
  <si>
    <t>Martin Brice</t>
  </si>
  <si>
    <t>Smith Joe</t>
  </si>
  <si>
    <t>Tartarat Mathieu</t>
  </si>
  <si>
    <t>Botteron Claude</t>
  </si>
  <si>
    <t>Ganozzi Sébastien</t>
  </si>
  <si>
    <t>Cosset Cédric</t>
  </si>
  <si>
    <t>Cosset Karl</t>
  </si>
  <si>
    <t>Total %                         2 Pts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</si>
</sst>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0.0000"/>
    <numFmt numFmtId="175" formatCode="0.000"/>
    <numFmt numFmtId="176" formatCode="_-* #,##0.0\ _F_-;\-* #,##0.0\ _F_-;_-* &quot;-&quot;??\ _F_-;_-@_-"/>
    <numFmt numFmtId="177" formatCode="_-* #,##0.000\ _F_-;\-* #,##0.000\ _F_-;_-* &quot;-&quot;??\ _F_-;_-@_-"/>
    <numFmt numFmtId="178" formatCode="_-* #,##0\ _F_-;\-* #,##0\ _F_-;_-* &quot;-&quot;??\ _F_-;_-@_-"/>
    <numFmt numFmtId="179" formatCode="_-* #,##0.0000\ _F_-;\-* #,##0.0000\ _F_-;_-* &quot;-&quot;??\ _F_-;_-@_-"/>
    <numFmt numFmtId="180" formatCode="_-* #,##0.00000\ _F_-;\-* #,##0.00000\ _F_-;_-* &quot;-&quot;??\ _F_-;_-@_-"/>
    <numFmt numFmtId="181" formatCode="_-* #,##0.000000\ _F_-;\-* #,##0.000000\ _F_-;_-* &quot;-&quot;??\ _F_-;_-@_-"/>
    <numFmt numFmtId="182" formatCode="_-* #,##0.0000000\ _F_-;\-* #,##0.0000000\ _F_-;_-* &quot;-&quot;??\ _F_-;_-@_-"/>
    <numFmt numFmtId="183" formatCode="0.000%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7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48"/>
      <name val="Arial"/>
      <family val="2"/>
    </font>
    <font>
      <sz val="10"/>
      <color indexed="33"/>
      <name val="Arial"/>
      <family val="2"/>
    </font>
    <font>
      <i/>
      <sz val="10"/>
      <color indexed="10"/>
      <name val="Arial"/>
      <family val="2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Arial"/>
      <family val="2"/>
    </font>
    <font>
      <b/>
      <u val="single"/>
      <sz val="12"/>
      <name val="Garamond"/>
      <family val="1"/>
    </font>
    <font>
      <sz val="10"/>
      <color indexed="47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sz val="10"/>
      <name val="Arial Rounded MT Bold"/>
      <family val="0"/>
    </font>
    <font>
      <b/>
      <sz val="10"/>
      <color indexed="56"/>
      <name val="Arial"/>
      <family val="2"/>
    </font>
    <font>
      <b/>
      <sz val="10"/>
      <color indexed="8"/>
      <name val="Arial Rounded MT Bold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0" fontId="5" fillId="0" borderId="0" xfId="19" applyNumberFormat="1" applyFont="1" applyAlignment="1">
      <alignment/>
    </xf>
    <xf numFmtId="0" fontId="5" fillId="0" borderId="0" xfId="0" applyFont="1" applyAlignment="1">
      <alignment/>
    </xf>
    <xf numFmtId="9" fontId="6" fillId="0" borderId="0" xfId="19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1" fontId="7" fillId="0" borderId="0" xfId="15" applyNumberFormat="1" applyFont="1" applyAlignment="1">
      <alignment horizontal="center" vertical="center"/>
    </xf>
    <xf numFmtId="0" fontId="11" fillId="2" borderId="0" xfId="0" applyFont="1" applyFill="1" applyAlignment="1">
      <alignment horizontal="left"/>
    </xf>
    <xf numFmtId="10" fontId="12" fillId="2" borderId="0" xfId="19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9" fontId="13" fillId="2" borderId="0" xfId="19" applyFont="1" applyFill="1" applyAlignment="1">
      <alignment horizontal="left"/>
    </xf>
    <xf numFmtId="0" fontId="0" fillId="2" borderId="0" xfId="0" applyFill="1" applyAlignment="1">
      <alignment/>
    </xf>
    <xf numFmtId="10" fontId="5" fillId="2" borderId="0" xfId="19" applyNumberFormat="1" applyFont="1" applyFill="1" applyAlignment="1">
      <alignment/>
    </xf>
    <xf numFmtId="0" fontId="5" fillId="2" borderId="0" xfId="0" applyFont="1" applyFill="1" applyAlignment="1">
      <alignment/>
    </xf>
    <xf numFmtId="9" fontId="6" fillId="2" borderId="0" xfId="19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10" fontId="13" fillId="2" borderId="0" xfId="19" applyNumberFormat="1" applyFont="1" applyFill="1" applyAlignment="1">
      <alignment horizontal="left"/>
    </xf>
    <xf numFmtId="10" fontId="6" fillId="2" borderId="0" xfId="19" applyNumberFormat="1" applyFont="1" applyFill="1" applyAlignment="1">
      <alignment/>
    </xf>
    <xf numFmtId="0" fontId="1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10" fontId="12" fillId="2" borderId="2" xfId="19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0" fontId="8" fillId="2" borderId="2" xfId="19" applyNumberFormat="1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vertical="center" textRotation="90"/>
    </xf>
    <xf numFmtId="0" fontId="18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10" fontId="18" fillId="0" borderId="6" xfId="19" applyNumberFormat="1" applyFont="1" applyFill="1" applyBorder="1" applyAlignment="1">
      <alignment horizontal="center" vertical="center" wrapText="1"/>
    </xf>
    <xf numFmtId="9" fontId="18" fillId="0" borderId="6" xfId="19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10" fontId="7" fillId="0" borderId="6" xfId="19" applyNumberFormat="1" applyFont="1" applyFill="1" applyBorder="1" applyAlignment="1">
      <alignment/>
    </xf>
    <xf numFmtId="10" fontId="8" fillId="0" borderId="6" xfId="19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21" fillId="0" borderId="6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10" fontId="7" fillId="0" borderId="6" xfId="19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0" fontId="8" fillId="0" borderId="6" xfId="19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18" fillId="0" borderId="6" xfId="0" applyNumberFormat="1" applyFont="1" applyFill="1" applyBorder="1" applyAlignment="1">
      <alignment/>
    </xf>
    <xf numFmtId="0" fontId="38" fillId="0" borderId="6" xfId="0" applyFont="1" applyFill="1" applyBorder="1" applyAlignment="1">
      <alignment/>
    </xf>
    <xf numFmtId="172" fontId="7" fillId="0" borderId="6" xfId="19" applyNumberFormat="1" applyFont="1" applyFill="1" applyBorder="1" applyAlignment="1">
      <alignment/>
    </xf>
    <xf numFmtId="0" fontId="40" fillId="0" borderId="6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vertical="center"/>
    </xf>
    <xf numFmtId="10" fontId="20" fillId="0" borderId="6" xfId="19" applyNumberFormat="1" applyFont="1" applyFill="1" applyBorder="1" applyAlignment="1">
      <alignment vertical="center"/>
    </xf>
    <xf numFmtId="0" fontId="40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textRotation="90" wrapText="1"/>
    </xf>
    <xf numFmtId="0" fontId="18" fillId="0" borderId="6" xfId="0" applyFont="1" applyFill="1" applyBorder="1" applyAlignment="1">
      <alignment horizontal="center" vertical="center" wrapText="1"/>
    </xf>
    <xf numFmtId="10" fontId="18" fillId="0" borderId="6" xfId="19" applyNumberFormat="1" applyFont="1" applyFill="1" applyBorder="1" applyAlignment="1">
      <alignment horizontal="center" vertical="center" wrapText="1"/>
    </xf>
    <xf numFmtId="9" fontId="18" fillId="0" borderId="6" xfId="19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Continuous" vertical="center" wrapText="1"/>
    </xf>
    <xf numFmtId="2" fontId="7" fillId="0" borderId="6" xfId="0" applyNumberFormat="1" applyFont="1" applyFill="1" applyBorder="1" applyAlignment="1">
      <alignment/>
    </xf>
    <xf numFmtId="2" fontId="21" fillId="0" borderId="6" xfId="0" applyNumberFormat="1" applyFont="1" applyFill="1" applyBorder="1" applyAlignment="1">
      <alignment/>
    </xf>
    <xf numFmtId="171" fontId="26" fillId="0" borderId="6" xfId="15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right"/>
    </xf>
    <xf numFmtId="2" fontId="25" fillId="0" borderId="6" xfId="0" applyNumberFormat="1" applyFont="1" applyFill="1" applyBorder="1" applyAlignment="1">
      <alignment/>
    </xf>
    <xf numFmtId="171" fontId="7" fillId="0" borderId="6" xfId="15" applyFont="1" applyFill="1" applyBorder="1" applyAlignment="1">
      <alignment/>
    </xf>
    <xf numFmtId="2" fontId="14" fillId="0" borderId="6" xfId="0" applyNumberFormat="1" applyFont="1" applyFill="1" applyBorder="1" applyAlignment="1">
      <alignment/>
    </xf>
    <xf numFmtId="2" fontId="14" fillId="0" borderId="6" xfId="0" applyNumberFormat="1" applyFont="1" applyFill="1" applyBorder="1" applyAlignment="1">
      <alignment/>
    </xf>
    <xf numFmtId="2" fontId="7" fillId="0" borderId="6" xfId="0" applyNumberFormat="1" applyFont="1" applyFill="1" applyBorder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34" fillId="0" borderId="6" xfId="0" applyNumberFormat="1" applyFont="1" applyFill="1" applyBorder="1" applyAlignment="1">
      <alignment horizontal="center"/>
    </xf>
    <xf numFmtId="1" fontId="39" fillId="0" borderId="6" xfId="15" applyNumberFormat="1" applyFont="1" applyFill="1" applyBorder="1" applyAlignment="1">
      <alignment horizontal="right" vertical="center"/>
    </xf>
    <xf numFmtId="1" fontId="39" fillId="0" borderId="6" xfId="15" applyNumberFormat="1" applyFont="1" applyFill="1" applyBorder="1" applyAlignment="1">
      <alignment horizontal="center" vertical="center"/>
    </xf>
    <xf numFmtId="2" fontId="35" fillId="0" borderId="6" xfId="0" applyNumberFormat="1" applyFont="1" applyFill="1" applyBorder="1" applyAlignment="1">
      <alignment/>
    </xf>
    <xf numFmtId="2" fontId="19" fillId="0" borderId="6" xfId="0" applyNumberFormat="1" applyFont="1" applyFill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27" fillId="0" borderId="6" xfId="0" applyNumberFormat="1" applyFont="1" applyFill="1" applyBorder="1" applyAlignment="1">
      <alignment horizontal="centerContinuous"/>
    </xf>
    <xf numFmtId="0" fontId="27" fillId="0" borderId="6" xfId="0" applyFont="1" applyFill="1" applyBorder="1" applyAlignment="1">
      <alignment horizontal="centerContinuous"/>
    </xf>
    <xf numFmtId="10" fontId="23" fillId="0" borderId="6" xfId="0" applyNumberFormat="1" applyFont="1" applyFill="1" applyBorder="1" applyAlignment="1">
      <alignment/>
    </xf>
    <xf numFmtId="1" fontId="39" fillId="0" borderId="6" xfId="15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/>
    </xf>
    <xf numFmtId="171" fontId="7" fillId="0" borderId="6" xfId="15" applyFont="1" applyFill="1" applyBorder="1" applyAlignment="1">
      <alignment/>
    </xf>
    <xf numFmtId="1" fontId="37" fillId="0" borderId="6" xfId="15" applyNumberFormat="1" applyFont="1" applyFill="1" applyBorder="1" applyAlignment="1">
      <alignment horizontal="right" vertical="center"/>
    </xf>
    <xf numFmtId="1" fontId="37" fillId="0" borderId="6" xfId="15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Continuous"/>
    </xf>
    <xf numFmtId="0" fontId="33" fillId="0" borderId="6" xfId="0" applyFont="1" applyFill="1" applyBorder="1" applyAlignment="1">
      <alignment horizontal="centerContinuous"/>
    </xf>
    <xf numFmtId="10" fontId="16" fillId="0" borderId="6" xfId="0" applyNumberFormat="1" applyFont="1" applyFill="1" applyBorder="1" applyAlignment="1">
      <alignment/>
    </xf>
    <xf numFmtId="2" fontId="18" fillId="0" borderId="6" xfId="0" applyNumberFormat="1" applyFont="1" applyFill="1" applyBorder="1" applyAlignment="1">
      <alignment/>
    </xf>
    <xf numFmtId="0" fontId="41" fillId="0" borderId="6" xfId="0" applyFont="1" applyFill="1" applyBorder="1" applyAlignment="1">
      <alignment vertical="center"/>
    </xf>
    <xf numFmtId="2" fontId="20" fillId="0" borderId="6" xfId="0" applyNumberFormat="1" applyFont="1" applyFill="1" applyBorder="1" applyAlignment="1">
      <alignment vertical="center"/>
    </xf>
    <xf numFmtId="171" fontId="20" fillId="0" borderId="6" xfId="15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right" vertical="center"/>
    </xf>
    <xf numFmtId="171" fontId="20" fillId="0" borderId="6" xfId="15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2" fontId="20" fillId="0" borderId="6" xfId="0" applyNumberFormat="1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10" fontId="20" fillId="0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/>
    </xf>
    <xf numFmtId="0" fontId="19" fillId="3" borderId="6" xfId="0" applyFont="1" applyFill="1" applyBorder="1" applyAlignment="1">
      <alignment/>
    </xf>
    <xf numFmtId="0" fontId="21" fillId="3" borderId="6" xfId="0" applyFont="1" applyFill="1" applyBorder="1" applyAlignment="1">
      <alignment/>
    </xf>
    <xf numFmtId="0" fontId="22" fillId="3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dans la raquette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1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stats!$C$5:$C$38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stats!$G$5:$G$38</c:f>
              <c:numCache>
                <c:ptCount val="34"/>
                <c:pt idx="0">
                  <c:v>0.36363636363636365</c:v>
                </c:pt>
                <c:pt idx="1">
                  <c:v>0.5</c:v>
                </c:pt>
                <c:pt idx="2">
                  <c:v>0.4666666666666667</c:v>
                </c:pt>
                <c:pt idx="3">
                  <c:v>0.3333333333333333</c:v>
                </c:pt>
                <c:pt idx="4">
                  <c:v>0.42735042735042733</c:v>
                </c:pt>
                <c:pt idx="5">
                  <c:v>0.5662921348314607</c:v>
                </c:pt>
                <c:pt idx="6">
                  <c:v>0.52</c:v>
                </c:pt>
                <c:pt idx="7">
                  <c:v>0.5353535353535354</c:v>
                </c:pt>
                <c:pt idx="8">
                  <c:v>0.6</c:v>
                </c:pt>
                <c:pt idx="9">
                  <c:v>0.541501976284585</c:v>
                </c:pt>
                <c:pt idx="10">
                  <c:v>0.5259809119830329</c:v>
                </c:pt>
                <c:pt idx="11">
                  <c:v>0.3617021276595745</c:v>
                </c:pt>
                <c:pt idx="12">
                  <c:v>0.5990566037735849</c:v>
                </c:pt>
                <c:pt idx="13">
                  <c:v>0.4963144963144963</c:v>
                </c:pt>
                <c:pt idx="14">
                  <c:v>0.47305389221556887</c:v>
                </c:pt>
                <c:pt idx="15">
                  <c:v>0.3655913978494624</c:v>
                </c:pt>
                <c:pt idx="16">
                  <c:v>0.4875</c:v>
                </c:pt>
                <c:pt idx="17">
                  <c:v>0.5103626943005182</c:v>
                </c:pt>
                <c:pt idx="18">
                  <c:v>0.5539568345323741</c:v>
                </c:pt>
                <c:pt idx="19">
                  <c:v>0.5020161290322581</c:v>
                </c:pt>
                <c:pt idx="20">
                  <c:v>0.5803030303030303</c:v>
                </c:pt>
                <c:pt idx="21">
                  <c:v>0.5980952380952381</c:v>
                </c:pt>
                <c:pt idx="22">
                  <c:v>0.5622119815668203</c:v>
                </c:pt>
                <c:pt idx="23">
                  <c:v>0.48942598187311176</c:v>
                </c:pt>
                <c:pt idx="24">
                  <c:v>0.4420401854714065</c:v>
                </c:pt>
                <c:pt idx="25">
                  <c:v>0.2857142857142857</c:v>
                </c:pt>
                <c:pt idx="26">
                  <c:v>0.5618279569892473</c:v>
                </c:pt>
                <c:pt idx="27">
                  <c:v>0.5408163265306123</c:v>
                </c:pt>
                <c:pt idx="28">
                  <c:v>0.3333333333333333</c:v>
                </c:pt>
                <c:pt idx="29">
                  <c:v>0.5</c:v>
                </c:pt>
                <c:pt idx="30">
                  <c:v>0.6184971098265896</c:v>
                </c:pt>
                <c:pt idx="31">
                  <c:v>0.5045045045045045</c:v>
                </c:pt>
                <c:pt idx="32">
                  <c:v>0.5515463917525774</c:v>
                </c:pt>
                <c:pt idx="33">
                  <c:v>0.5294117647058824</c:v>
                </c:pt>
              </c:numCache>
            </c:numRef>
          </c:val>
        </c:ser>
        <c:axId val="55918628"/>
        <c:axId val="33505605"/>
      </c:bar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505605"/>
        <c:crosses val="autoZero"/>
        <c:auto val="0"/>
        <c:lblOffset val="100"/>
        <c:noMultiLvlLbl val="0"/>
      </c:catAx>
      <c:valAx>
        <c:axId val="3350560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18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Interceptions / Pertes de balle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stats!$O$43:$O$43</c:f>
              <c:strCache>
                <c:ptCount val="1"/>
                <c:pt idx="0">
                  <c:v>Interc eptions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stats!$O$44:$O$77</c:f>
              <c:numCache>
                <c:ptCount val="34"/>
                <c:pt idx="0">
                  <c:v>1</c:v>
                </c:pt>
                <c:pt idx="1">
                  <c:v>0.2222222222222222</c:v>
                </c:pt>
                <c:pt idx="2">
                  <c:v>1.4444444444444444</c:v>
                </c:pt>
                <c:pt idx="3">
                  <c:v>0.3333333333333333</c:v>
                </c:pt>
                <c:pt idx="4">
                  <c:v>1.2045454545454546</c:v>
                </c:pt>
                <c:pt idx="5">
                  <c:v>1.9767441860465116</c:v>
                </c:pt>
                <c:pt idx="6">
                  <c:v>0.06666666666666667</c:v>
                </c:pt>
                <c:pt idx="7">
                  <c:v>2.706896551724138</c:v>
                </c:pt>
                <c:pt idx="8">
                  <c:v>1.744186046511628</c:v>
                </c:pt>
                <c:pt idx="9">
                  <c:v>1.8611111111111112</c:v>
                </c:pt>
                <c:pt idx="10">
                  <c:v>0.7266666666666667</c:v>
                </c:pt>
                <c:pt idx="11">
                  <c:v>0.5714285714285714</c:v>
                </c:pt>
                <c:pt idx="12">
                  <c:v>1.180722891566265</c:v>
                </c:pt>
                <c:pt idx="13">
                  <c:v>1.7230769230769232</c:v>
                </c:pt>
                <c:pt idx="14">
                  <c:v>0.47619047619047616</c:v>
                </c:pt>
                <c:pt idx="15">
                  <c:v>0.5555555555555556</c:v>
                </c:pt>
                <c:pt idx="16">
                  <c:v>0.94</c:v>
                </c:pt>
                <c:pt idx="17">
                  <c:v>0.6746031746031746</c:v>
                </c:pt>
                <c:pt idx="18">
                  <c:v>0.6744186046511628</c:v>
                </c:pt>
                <c:pt idx="19">
                  <c:v>1.1219512195121952</c:v>
                </c:pt>
                <c:pt idx="20">
                  <c:v>1.2847222222222223</c:v>
                </c:pt>
                <c:pt idx="21">
                  <c:v>1.168141592920354</c:v>
                </c:pt>
                <c:pt idx="22">
                  <c:v>1.0476190476190477</c:v>
                </c:pt>
                <c:pt idx="23">
                  <c:v>1.4731182795698925</c:v>
                </c:pt>
                <c:pt idx="24">
                  <c:v>0.6556291390728477</c:v>
                </c:pt>
                <c:pt idx="25">
                  <c:v>1.565217391304348</c:v>
                </c:pt>
                <c:pt idx="26">
                  <c:v>2.9966887417218544</c:v>
                </c:pt>
                <c:pt idx="27">
                  <c:v>0.7222222222222222</c:v>
                </c:pt>
                <c:pt idx="28">
                  <c:v>0.9369369369369369</c:v>
                </c:pt>
                <c:pt idx="29">
                  <c:v>0.25</c:v>
                </c:pt>
                <c:pt idx="30">
                  <c:v>0.8</c:v>
                </c:pt>
                <c:pt idx="31">
                  <c:v>1.3333333333333333</c:v>
                </c:pt>
                <c:pt idx="32">
                  <c:v>2.186046511627907</c:v>
                </c:pt>
                <c:pt idx="33">
                  <c:v>1.34375</c:v>
                </c:pt>
              </c:numCache>
            </c:numRef>
          </c:val>
        </c:ser>
        <c:ser>
          <c:idx val="1"/>
          <c:order val="1"/>
          <c:tx>
            <c:strRef>
              <c:f>stats!$P$43:$P$43</c:f>
              <c:strCache>
                <c:ptCount val="1"/>
                <c:pt idx="0">
                  <c:v>Pertes de balle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stats!$P$44:$P$77</c:f>
              <c:numCache>
                <c:ptCount val="34"/>
                <c:pt idx="0">
                  <c:v>0.75</c:v>
                </c:pt>
                <c:pt idx="1">
                  <c:v>0.3333333333333333</c:v>
                </c:pt>
                <c:pt idx="2">
                  <c:v>0.8888888888888888</c:v>
                </c:pt>
                <c:pt idx="3">
                  <c:v>0.5</c:v>
                </c:pt>
                <c:pt idx="4">
                  <c:v>1.0681818181818181</c:v>
                </c:pt>
                <c:pt idx="5">
                  <c:v>1.7093023255813953</c:v>
                </c:pt>
                <c:pt idx="6">
                  <c:v>0.7333333333333333</c:v>
                </c:pt>
                <c:pt idx="7">
                  <c:v>1.8448275862068966</c:v>
                </c:pt>
                <c:pt idx="8">
                  <c:v>0.8837209302325582</c:v>
                </c:pt>
                <c:pt idx="9">
                  <c:v>1.1319444444444444</c:v>
                </c:pt>
                <c:pt idx="10">
                  <c:v>1.0866666666666667</c:v>
                </c:pt>
                <c:pt idx="11">
                  <c:v>0.6666666666666666</c:v>
                </c:pt>
                <c:pt idx="12">
                  <c:v>1</c:v>
                </c:pt>
                <c:pt idx="13">
                  <c:v>1.8</c:v>
                </c:pt>
                <c:pt idx="14">
                  <c:v>0.5952380952380952</c:v>
                </c:pt>
                <c:pt idx="15">
                  <c:v>0.37037037037037035</c:v>
                </c:pt>
                <c:pt idx="16">
                  <c:v>1</c:v>
                </c:pt>
                <c:pt idx="17">
                  <c:v>0.5793650793650794</c:v>
                </c:pt>
                <c:pt idx="18">
                  <c:v>1.1395348837209303</c:v>
                </c:pt>
                <c:pt idx="19">
                  <c:v>1.1951219512195121</c:v>
                </c:pt>
                <c:pt idx="20">
                  <c:v>1.125</c:v>
                </c:pt>
                <c:pt idx="21">
                  <c:v>0.6548672566371682</c:v>
                </c:pt>
                <c:pt idx="22">
                  <c:v>0.8095238095238095</c:v>
                </c:pt>
                <c:pt idx="23">
                  <c:v>1.7096774193548387</c:v>
                </c:pt>
                <c:pt idx="24">
                  <c:v>0.6556291390728477</c:v>
                </c:pt>
                <c:pt idx="25">
                  <c:v>0.391304347826087</c:v>
                </c:pt>
                <c:pt idx="26">
                  <c:v>1.3708609271523178</c:v>
                </c:pt>
                <c:pt idx="27">
                  <c:v>0.3611111111111111</c:v>
                </c:pt>
                <c:pt idx="28">
                  <c:v>0.6936936936936937</c:v>
                </c:pt>
                <c:pt idx="29">
                  <c:v>0.16666666666666666</c:v>
                </c:pt>
                <c:pt idx="30">
                  <c:v>2.75</c:v>
                </c:pt>
                <c:pt idx="31">
                  <c:v>1.5238095238095237</c:v>
                </c:pt>
                <c:pt idx="32">
                  <c:v>1</c:v>
                </c:pt>
                <c:pt idx="33">
                  <c:v>0.828125</c:v>
                </c:pt>
              </c:numCache>
            </c:numRef>
          </c:val>
        </c:ser>
        <c:axId val="34303550"/>
        <c:axId val="40296495"/>
      </c:bar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296495"/>
        <c:crosses val="autoZero"/>
        <c:auto val="0"/>
        <c:lblOffset val="100"/>
        <c:noMultiLvlLbl val="0"/>
      </c:catAx>
      <c:valAx>
        <c:axId val="40296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30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05"/>
          <c:y val="0.021"/>
          <c:w val="0.1385"/>
          <c:h val="0.0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Fautes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925"/>
          <c:w val="0.995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stats!$L$44:$L$77</c:f>
              <c:numCache>
                <c:ptCount val="34"/>
                <c:pt idx="0">
                  <c:v>1.75</c:v>
                </c:pt>
                <c:pt idx="1">
                  <c:v>1.2222222222222223</c:v>
                </c:pt>
                <c:pt idx="2">
                  <c:v>2.3333333333333335</c:v>
                </c:pt>
                <c:pt idx="3">
                  <c:v>0.8333333333333334</c:v>
                </c:pt>
                <c:pt idx="4">
                  <c:v>2.522727272727273</c:v>
                </c:pt>
                <c:pt idx="5">
                  <c:v>3.511627906976744</c:v>
                </c:pt>
                <c:pt idx="6">
                  <c:v>1.4</c:v>
                </c:pt>
                <c:pt idx="7">
                  <c:v>2.5344827586206895</c:v>
                </c:pt>
                <c:pt idx="8">
                  <c:v>2.2325581395348837</c:v>
                </c:pt>
                <c:pt idx="9">
                  <c:v>4.041666666666667</c:v>
                </c:pt>
                <c:pt idx="10">
                  <c:v>3.4266666666666667</c:v>
                </c:pt>
                <c:pt idx="11">
                  <c:v>2.5714285714285716</c:v>
                </c:pt>
                <c:pt idx="12">
                  <c:v>3.2289156626506026</c:v>
                </c:pt>
                <c:pt idx="13">
                  <c:v>3.646153846153846</c:v>
                </c:pt>
                <c:pt idx="14">
                  <c:v>2.261904761904762</c:v>
                </c:pt>
                <c:pt idx="15">
                  <c:v>1.8888888888888888</c:v>
                </c:pt>
                <c:pt idx="16">
                  <c:v>2.36</c:v>
                </c:pt>
                <c:pt idx="17">
                  <c:v>3.3333333333333335</c:v>
                </c:pt>
                <c:pt idx="18">
                  <c:v>2.0697674418604652</c:v>
                </c:pt>
                <c:pt idx="19">
                  <c:v>3.5121951219512195</c:v>
                </c:pt>
                <c:pt idx="20">
                  <c:v>2.0069444444444446</c:v>
                </c:pt>
                <c:pt idx="21">
                  <c:v>2.4867256637168142</c:v>
                </c:pt>
                <c:pt idx="22">
                  <c:v>2.880952380952381</c:v>
                </c:pt>
                <c:pt idx="23">
                  <c:v>3.5161290322580645</c:v>
                </c:pt>
                <c:pt idx="24">
                  <c:v>2.8543046357615895</c:v>
                </c:pt>
                <c:pt idx="25">
                  <c:v>2.8260869565217392</c:v>
                </c:pt>
                <c:pt idx="26">
                  <c:v>4.251655629139073</c:v>
                </c:pt>
                <c:pt idx="27">
                  <c:v>1.0555555555555556</c:v>
                </c:pt>
                <c:pt idx="28">
                  <c:v>2.6486486486486487</c:v>
                </c:pt>
                <c:pt idx="29">
                  <c:v>1.5833333333333333</c:v>
                </c:pt>
                <c:pt idx="30">
                  <c:v>2.5</c:v>
                </c:pt>
                <c:pt idx="31">
                  <c:v>3.857142857142857</c:v>
                </c:pt>
                <c:pt idx="32">
                  <c:v>2.697674418604651</c:v>
                </c:pt>
                <c:pt idx="33">
                  <c:v>2.96875</c:v>
                </c:pt>
              </c:numCache>
            </c:numRef>
          </c:val>
        </c:ser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790633"/>
        <c:crosses val="autoZero"/>
        <c:auto val="0"/>
        <c:lblOffset val="100"/>
        <c:noMultiLvlLbl val="0"/>
      </c:catAx>
      <c:valAx>
        <c:axId val="4279063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712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Fautes provoquées / Fautes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79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stats!$K$43:$K$43</c:f>
              <c:strCache>
                <c:ptCount val="1"/>
                <c:pt idx="0">
                  <c:v>Fautes provoquées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\ _F_-;\-* #,##0.00\ _F_-;_-* &quot;-&quot;??\ _F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\ _F_-;\-* #,##0.00\ _F_-;_-* &quot;-&quot;??\ _F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\ _F_-;\-* #,##0.00\ _F_-;_-* &quot;-&quot;??\ _F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\ _F_-;\-* #,##0.00\ _F_-;_-* &quot;-&quot;??\ _F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\ _F_-;\-* #,##0.00\ _F_-;_-* &quot;-&quot;??\ _F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\ _F_-;\-* #,##0.00\ _F_-;_-* &quot;-&quot;??\ _F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\ _F_-;\-* #,##0.00\ _F_-;_-* &quot;-&quot;??\ _F_-;_-@_-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stats!$K$44:$K$77</c:f>
              <c:numCache>
                <c:ptCount val="34"/>
                <c:pt idx="0">
                  <c:v>1.0833333333333333</c:v>
                </c:pt>
                <c:pt idx="1">
                  <c:v>0.8888888888888888</c:v>
                </c:pt>
                <c:pt idx="2">
                  <c:v>2.888888888888889</c:v>
                </c:pt>
                <c:pt idx="3">
                  <c:v>0.5</c:v>
                </c:pt>
                <c:pt idx="4">
                  <c:v>2.909090909090909</c:v>
                </c:pt>
                <c:pt idx="5">
                  <c:v>6.267441860465116</c:v>
                </c:pt>
                <c:pt idx="6">
                  <c:v>0.8</c:v>
                </c:pt>
                <c:pt idx="7">
                  <c:v>3.7758620689655173</c:v>
                </c:pt>
                <c:pt idx="8">
                  <c:v>2.488372093023256</c:v>
                </c:pt>
                <c:pt idx="9">
                  <c:v>1.1527777777777777</c:v>
                </c:pt>
                <c:pt idx="10">
                  <c:v>3.2266666666666666</c:v>
                </c:pt>
                <c:pt idx="11">
                  <c:v>1</c:v>
                </c:pt>
                <c:pt idx="12">
                  <c:v>3.2048192771084336</c:v>
                </c:pt>
                <c:pt idx="13">
                  <c:v>4.846153846153846</c:v>
                </c:pt>
                <c:pt idx="14">
                  <c:v>1.5357142857142858</c:v>
                </c:pt>
                <c:pt idx="15">
                  <c:v>0.5555555555555556</c:v>
                </c:pt>
                <c:pt idx="16">
                  <c:v>1</c:v>
                </c:pt>
                <c:pt idx="17">
                  <c:v>1.7063492063492063</c:v>
                </c:pt>
                <c:pt idx="18">
                  <c:v>3.7241379310344827</c:v>
                </c:pt>
                <c:pt idx="19">
                  <c:v>3.4634146341463414</c:v>
                </c:pt>
                <c:pt idx="20">
                  <c:v>2.638888888888889</c:v>
                </c:pt>
                <c:pt idx="21">
                  <c:v>1.1504424778761062</c:v>
                </c:pt>
                <c:pt idx="22">
                  <c:v>1.880952380952381</c:v>
                </c:pt>
                <c:pt idx="23">
                  <c:v>3.3010752688172045</c:v>
                </c:pt>
                <c:pt idx="24">
                  <c:v>1.403973509933775</c:v>
                </c:pt>
                <c:pt idx="25">
                  <c:v>0.9130434782608695</c:v>
                </c:pt>
                <c:pt idx="26">
                  <c:v>5.739583333333333</c:v>
                </c:pt>
                <c:pt idx="27">
                  <c:v>1.3333333333333333</c:v>
                </c:pt>
                <c:pt idx="28">
                  <c:v>5</c:v>
                </c:pt>
                <c:pt idx="29">
                  <c:v>0.8333333333333334</c:v>
                </c:pt>
                <c:pt idx="30">
                  <c:v>3.9</c:v>
                </c:pt>
                <c:pt idx="31">
                  <c:v>2.5238095238095237</c:v>
                </c:pt>
                <c:pt idx="32">
                  <c:v>2.813953488372093</c:v>
                </c:pt>
                <c:pt idx="33">
                  <c:v>2.734375</c:v>
                </c:pt>
              </c:numCache>
            </c:numRef>
          </c:val>
        </c:ser>
        <c:ser>
          <c:idx val="1"/>
          <c:order val="1"/>
          <c:tx>
            <c:strRef>
              <c:f>stats!$L$43:$L$43</c:f>
              <c:strCache>
                <c:ptCount val="1"/>
                <c:pt idx="0">
                  <c:v>Fautes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stats!$L$44:$L$77</c:f>
              <c:numCache>
                <c:ptCount val="34"/>
                <c:pt idx="0">
                  <c:v>1.75</c:v>
                </c:pt>
                <c:pt idx="1">
                  <c:v>1.2222222222222223</c:v>
                </c:pt>
                <c:pt idx="2">
                  <c:v>2.3333333333333335</c:v>
                </c:pt>
                <c:pt idx="3">
                  <c:v>0.8333333333333334</c:v>
                </c:pt>
                <c:pt idx="4">
                  <c:v>2.522727272727273</c:v>
                </c:pt>
                <c:pt idx="5">
                  <c:v>3.511627906976744</c:v>
                </c:pt>
                <c:pt idx="6">
                  <c:v>1.4</c:v>
                </c:pt>
                <c:pt idx="7">
                  <c:v>2.5344827586206895</c:v>
                </c:pt>
                <c:pt idx="8">
                  <c:v>2.2325581395348837</c:v>
                </c:pt>
                <c:pt idx="9">
                  <c:v>4.041666666666667</c:v>
                </c:pt>
                <c:pt idx="10">
                  <c:v>3.4266666666666667</c:v>
                </c:pt>
                <c:pt idx="11">
                  <c:v>2.5714285714285716</c:v>
                </c:pt>
                <c:pt idx="12">
                  <c:v>3.2289156626506026</c:v>
                </c:pt>
                <c:pt idx="13">
                  <c:v>3.646153846153846</c:v>
                </c:pt>
                <c:pt idx="14">
                  <c:v>2.261904761904762</c:v>
                </c:pt>
                <c:pt idx="15">
                  <c:v>1.8888888888888888</c:v>
                </c:pt>
                <c:pt idx="16">
                  <c:v>2.36</c:v>
                </c:pt>
                <c:pt idx="17">
                  <c:v>3.3333333333333335</c:v>
                </c:pt>
                <c:pt idx="18">
                  <c:v>2.0697674418604652</c:v>
                </c:pt>
                <c:pt idx="19">
                  <c:v>3.5121951219512195</c:v>
                </c:pt>
                <c:pt idx="20">
                  <c:v>2.0069444444444446</c:v>
                </c:pt>
                <c:pt idx="21">
                  <c:v>2.4867256637168142</c:v>
                </c:pt>
                <c:pt idx="22">
                  <c:v>2.880952380952381</c:v>
                </c:pt>
                <c:pt idx="23">
                  <c:v>3.5161290322580645</c:v>
                </c:pt>
                <c:pt idx="24">
                  <c:v>2.8543046357615895</c:v>
                </c:pt>
                <c:pt idx="25">
                  <c:v>2.8260869565217392</c:v>
                </c:pt>
                <c:pt idx="26">
                  <c:v>4.251655629139073</c:v>
                </c:pt>
                <c:pt idx="27">
                  <c:v>1.0555555555555556</c:v>
                </c:pt>
                <c:pt idx="28">
                  <c:v>2.6486486486486487</c:v>
                </c:pt>
                <c:pt idx="29">
                  <c:v>1.5833333333333333</c:v>
                </c:pt>
                <c:pt idx="30">
                  <c:v>2.5</c:v>
                </c:pt>
                <c:pt idx="31">
                  <c:v>3.857142857142857</c:v>
                </c:pt>
                <c:pt idx="32">
                  <c:v>2.697674418604651</c:v>
                </c:pt>
                <c:pt idx="33">
                  <c:v>2.96875</c:v>
                </c:pt>
              </c:numCache>
            </c:numRef>
          </c:val>
        </c:ser>
        <c:axId val="49571378"/>
        <c:axId val="43489219"/>
      </c:bar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auto val="0"/>
        <c:lblOffset val="100"/>
        <c:noMultiLvlLbl val="0"/>
      </c:catAx>
      <c:valAx>
        <c:axId val="434892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71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925"/>
          <c:y val="0.028"/>
          <c:w val="0.1625"/>
          <c:h val="0.0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Passes décisives / Mauvaises passes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05"/>
          <c:w val="0.979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stats!$M$43:$M$43</c:f>
              <c:strCache>
                <c:ptCount val="1"/>
                <c:pt idx="0">
                  <c:v>Passes décisi.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stats!$M$44:$M$77</c:f>
              <c:numCache>
                <c:ptCount val="34"/>
                <c:pt idx="0">
                  <c:v>1.6666666666666667</c:v>
                </c:pt>
                <c:pt idx="1">
                  <c:v>0.3333333333333333</c:v>
                </c:pt>
                <c:pt idx="2">
                  <c:v>3.388888888888889</c:v>
                </c:pt>
                <c:pt idx="3">
                  <c:v>0</c:v>
                </c:pt>
                <c:pt idx="4">
                  <c:v>2.7045454545454546</c:v>
                </c:pt>
                <c:pt idx="5">
                  <c:v>2.8255813953488373</c:v>
                </c:pt>
                <c:pt idx="6">
                  <c:v>0</c:v>
                </c:pt>
                <c:pt idx="7">
                  <c:v>7.137931034482759</c:v>
                </c:pt>
                <c:pt idx="8">
                  <c:v>3.116279069767442</c:v>
                </c:pt>
                <c:pt idx="9">
                  <c:v>2.013888888888889</c:v>
                </c:pt>
                <c:pt idx="10">
                  <c:v>1.1466666666666667</c:v>
                </c:pt>
                <c:pt idx="11">
                  <c:v>0.6666666666666666</c:v>
                </c:pt>
                <c:pt idx="12">
                  <c:v>1.3253012048192772</c:v>
                </c:pt>
                <c:pt idx="13">
                  <c:v>2.0307692307692307</c:v>
                </c:pt>
                <c:pt idx="14">
                  <c:v>0.5714285714285714</c:v>
                </c:pt>
                <c:pt idx="15">
                  <c:v>0.6666666666666666</c:v>
                </c:pt>
                <c:pt idx="16">
                  <c:v>1.46</c:v>
                </c:pt>
                <c:pt idx="17">
                  <c:v>0.12698412698412698</c:v>
                </c:pt>
                <c:pt idx="18">
                  <c:v>5.116279069767442</c:v>
                </c:pt>
                <c:pt idx="19">
                  <c:v>1.7560975609756098</c:v>
                </c:pt>
                <c:pt idx="20">
                  <c:v>1.8333333333333333</c:v>
                </c:pt>
                <c:pt idx="21">
                  <c:v>0.7876106194690266</c:v>
                </c:pt>
                <c:pt idx="22">
                  <c:v>0.4523809523809524</c:v>
                </c:pt>
                <c:pt idx="23">
                  <c:v>2.6236559139784945</c:v>
                </c:pt>
                <c:pt idx="24">
                  <c:v>0.31788079470198677</c:v>
                </c:pt>
                <c:pt idx="25">
                  <c:v>0.7391304347826086</c:v>
                </c:pt>
                <c:pt idx="26">
                  <c:v>2.652317880794702</c:v>
                </c:pt>
                <c:pt idx="27">
                  <c:v>0.4722222222222222</c:v>
                </c:pt>
                <c:pt idx="28">
                  <c:v>3.3423423423423424</c:v>
                </c:pt>
                <c:pt idx="29">
                  <c:v>0.4166666666666667</c:v>
                </c:pt>
                <c:pt idx="30">
                  <c:v>0.7</c:v>
                </c:pt>
                <c:pt idx="31">
                  <c:v>2.4285714285714284</c:v>
                </c:pt>
                <c:pt idx="32">
                  <c:v>1.697674418604651</c:v>
                </c:pt>
                <c:pt idx="33">
                  <c:v>6.421875</c:v>
                </c:pt>
              </c:numCache>
            </c:numRef>
          </c:val>
        </c:ser>
        <c:ser>
          <c:idx val="1"/>
          <c:order val="1"/>
          <c:tx>
            <c:strRef>
              <c:f>stats!$N$43:$N$43</c:f>
              <c:strCache>
                <c:ptCount val="1"/>
                <c:pt idx="0">
                  <c:v>Mauvaises passes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stats!$N$44:$N$77</c:f>
              <c:numCache>
                <c:ptCount val="34"/>
                <c:pt idx="0">
                  <c:v>1.75</c:v>
                </c:pt>
                <c:pt idx="1">
                  <c:v>1.1111111111111112</c:v>
                </c:pt>
                <c:pt idx="2">
                  <c:v>3.1666666666666665</c:v>
                </c:pt>
                <c:pt idx="3">
                  <c:v>0.16666666666666666</c:v>
                </c:pt>
                <c:pt idx="4">
                  <c:v>2.409090909090909</c:v>
                </c:pt>
                <c:pt idx="5">
                  <c:v>1.0116279069767442</c:v>
                </c:pt>
                <c:pt idx="6">
                  <c:v>0.2</c:v>
                </c:pt>
                <c:pt idx="7">
                  <c:v>3.189655172413793</c:v>
                </c:pt>
                <c:pt idx="8">
                  <c:v>1.558139534883721</c:v>
                </c:pt>
                <c:pt idx="9">
                  <c:v>1.2430555555555556</c:v>
                </c:pt>
                <c:pt idx="10">
                  <c:v>0.6533333333333333</c:v>
                </c:pt>
                <c:pt idx="11">
                  <c:v>0.42857142857142855</c:v>
                </c:pt>
                <c:pt idx="12">
                  <c:v>0.8554216867469879</c:v>
                </c:pt>
                <c:pt idx="13">
                  <c:v>1.4461538461538461</c:v>
                </c:pt>
                <c:pt idx="14">
                  <c:v>0.6666666666666666</c:v>
                </c:pt>
                <c:pt idx="15">
                  <c:v>0.1111111111111111</c:v>
                </c:pt>
                <c:pt idx="16">
                  <c:v>1</c:v>
                </c:pt>
                <c:pt idx="17">
                  <c:v>0.29365079365079366</c:v>
                </c:pt>
                <c:pt idx="18">
                  <c:v>2.8372093023255816</c:v>
                </c:pt>
                <c:pt idx="19">
                  <c:v>0.8292682926829268</c:v>
                </c:pt>
                <c:pt idx="20">
                  <c:v>1.2152777777777777</c:v>
                </c:pt>
                <c:pt idx="21">
                  <c:v>0.9823008849557522</c:v>
                </c:pt>
                <c:pt idx="22">
                  <c:v>0.7380952380952381</c:v>
                </c:pt>
                <c:pt idx="23">
                  <c:v>1.881720430107527</c:v>
                </c:pt>
                <c:pt idx="24">
                  <c:v>0.3841059602649007</c:v>
                </c:pt>
                <c:pt idx="25">
                  <c:v>0.8695652173913043</c:v>
                </c:pt>
                <c:pt idx="26">
                  <c:v>1.576158940397351</c:v>
                </c:pt>
                <c:pt idx="27">
                  <c:v>0.5833333333333334</c:v>
                </c:pt>
                <c:pt idx="28">
                  <c:v>2.4324324324324325</c:v>
                </c:pt>
                <c:pt idx="29">
                  <c:v>0.9166666666666666</c:v>
                </c:pt>
                <c:pt idx="30">
                  <c:v>0.2</c:v>
                </c:pt>
                <c:pt idx="31">
                  <c:v>1.5714285714285714</c:v>
                </c:pt>
                <c:pt idx="32">
                  <c:v>1.5348837209302326</c:v>
                </c:pt>
                <c:pt idx="33">
                  <c:v>3.40625</c:v>
                </c:pt>
              </c:numCache>
            </c:numRef>
          </c:val>
        </c:ser>
        <c:axId val="55858652"/>
        <c:axId val="32965821"/>
      </c:bar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0"/>
        <c:lblOffset val="100"/>
        <c:noMultiLvlLbl val="0"/>
      </c:catAx>
      <c:valAx>
        <c:axId val="329658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58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00175"/>
          <c:w val="0.1545"/>
          <c:h val="0.0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Note par match (rating)
</a:t>
            </a:r>
            <a:r>
              <a:rPr lang="en-US" cap="none" sz="1300" b="0" i="0" u="none" baseline="0"/>
              <a:t>(voir Basket Hebdo n° 169 page 22)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"/>
          <c:w val="0.9892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1"/>
            <c:spPr>
              <a:solidFill>
                <a:srgbClr val="FFFF99"/>
              </a:solidFill>
            </c:spPr>
          </c:dPt>
          <c:dPt>
            <c:idx val="10"/>
            <c:invertIfNegative val="1"/>
            <c:spPr>
              <a:solidFill>
                <a:srgbClr val="FFFF99"/>
              </a:solidFill>
            </c:spPr>
          </c:dPt>
          <c:dPt>
            <c:idx val="11"/>
            <c:invertIfNegative val="1"/>
            <c:spPr>
              <a:solidFill>
                <a:srgbClr val="FFFF99"/>
              </a:solidFill>
            </c:spPr>
          </c:dPt>
          <c:dPt>
            <c:idx val="12"/>
            <c:invertIfNegative val="1"/>
            <c:spPr>
              <a:solidFill>
                <a:srgbClr val="FFFF99"/>
              </a:solidFill>
            </c:spPr>
          </c:dPt>
          <c:dPt>
            <c:idx val="13"/>
            <c:invertIfNegative val="1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stats!$Y$44:$Y$77</c:f>
              <c:numCache>
                <c:ptCount val="34"/>
                <c:pt idx="0">
                  <c:v>0.5541666666666667</c:v>
                </c:pt>
                <c:pt idx="1">
                  <c:v>0.11666666666666664</c:v>
                </c:pt>
                <c:pt idx="2">
                  <c:v>5.866666666666666</c:v>
                </c:pt>
                <c:pt idx="3">
                  <c:v>-0.7250000000000001</c:v>
                </c:pt>
                <c:pt idx="4">
                  <c:v>3.3329545454545455</c:v>
                </c:pt>
                <c:pt idx="5">
                  <c:v>8.831395348837207</c:v>
                </c:pt>
                <c:pt idx="6">
                  <c:v>0.52</c:v>
                </c:pt>
                <c:pt idx="7">
                  <c:v>7.711206896551723</c:v>
                </c:pt>
                <c:pt idx="8">
                  <c:v>6.351162790697675</c:v>
                </c:pt>
                <c:pt idx="9">
                  <c:v>4.775</c:v>
                </c:pt>
                <c:pt idx="10">
                  <c:v>3.4360000000000004</c:v>
                </c:pt>
                <c:pt idx="11">
                  <c:v>3.0166666666666666</c:v>
                </c:pt>
                <c:pt idx="12">
                  <c:v>8.696987951807229</c:v>
                </c:pt>
                <c:pt idx="13">
                  <c:v>5.675384615384614</c:v>
                </c:pt>
                <c:pt idx="14">
                  <c:v>2.2095238095238097</c:v>
                </c:pt>
                <c:pt idx="15">
                  <c:v>3.2462962962962965</c:v>
                </c:pt>
                <c:pt idx="16">
                  <c:v>1.6210000000000002</c:v>
                </c:pt>
                <c:pt idx="17">
                  <c:v>4.026190476190476</c:v>
                </c:pt>
                <c:pt idx="18">
                  <c:v>10.48139534883721</c:v>
                </c:pt>
                <c:pt idx="19">
                  <c:v>8.985365853658536</c:v>
                </c:pt>
                <c:pt idx="20">
                  <c:v>4.1729166666666675</c:v>
                </c:pt>
                <c:pt idx="21">
                  <c:v>4.234070796460176</c:v>
                </c:pt>
                <c:pt idx="22">
                  <c:v>5.434523809523809</c:v>
                </c:pt>
                <c:pt idx="23">
                  <c:v>3.0774193548387103</c:v>
                </c:pt>
                <c:pt idx="24">
                  <c:v>3.362251655629139</c:v>
                </c:pt>
                <c:pt idx="25">
                  <c:v>1.9500000000000004</c:v>
                </c:pt>
                <c:pt idx="26">
                  <c:v>9.423675496688741</c:v>
                </c:pt>
                <c:pt idx="27">
                  <c:v>1.9180555555555552</c:v>
                </c:pt>
                <c:pt idx="28">
                  <c:v>2.6666666666666665</c:v>
                </c:pt>
                <c:pt idx="29">
                  <c:v>0.3499999999999999</c:v>
                </c:pt>
                <c:pt idx="30">
                  <c:v>8.94</c:v>
                </c:pt>
                <c:pt idx="31">
                  <c:v>4.873809523809524</c:v>
                </c:pt>
                <c:pt idx="32">
                  <c:v>6.76279069767442</c:v>
                </c:pt>
                <c:pt idx="33">
                  <c:v>7.979687499999999</c:v>
                </c:pt>
              </c:numCache>
            </c:numRef>
          </c:val>
        </c:ser>
        <c:axId val="28256934"/>
        <c:axId val="52985815"/>
      </c:bar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985815"/>
        <c:crosses val="autoZero"/>
        <c:auto val="0"/>
        <c:lblOffset val="100"/>
        <c:noMultiLvlLbl val="0"/>
      </c:catAx>
      <c:valAx>
        <c:axId val="5298581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56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"Mains d'or" (= fiabilité balle en main)</a:t>
            </a:r>
            <a:r>
              <a:rPr lang="en-US" cap="none" sz="1300" b="1" i="0" u="sng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(passes décisives + interceptions - pertes de balles - mauvaises passes / minutes jouées  x  40 mn)</a:t>
            </a:r>
          </a:p>
        </c:rich>
      </c:tx>
      <c:layout>
        <c:manualLayout>
          <c:xMode val="factor"/>
          <c:yMode val="factor"/>
          <c:x val="-0.02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6"/>
          <c:w val="0.988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1"/>
            <c:spPr>
              <a:solidFill>
                <a:srgbClr val="FFFF99"/>
              </a:solidFill>
            </c:spPr>
          </c:dPt>
          <c:dPt>
            <c:idx val="10"/>
            <c:invertIfNegative val="1"/>
            <c:spPr>
              <a:solidFill>
                <a:srgbClr val="FFFF99"/>
              </a:solidFill>
            </c:spPr>
          </c:dPt>
          <c:dPt>
            <c:idx val="11"/>
            <c:invertIfNegative val="1"/>
            <c:spPr>
              <a:solidFill>
                <a:srgbClr val="FFFF99"/>
              </a:solidFill>
            </c:spPr>
          </c:dPt>
          <c:dPt>
            <c:idx val="12"/>
            <c:invertIfNegative val="1"/>
            <c:spPr>
              <a:solidFill>
                <a:srgbClr val="FFFF99"/>
              </a:solidFill>
            </c:spPr>
          </c:dPt>
          <c:dPt>
            <c:idx val="13"/>
            <c:invertIfNegative val="1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stats!$W$44:$W$77</c:f>
              <c:numCache>
                <c:ptCount val="34"/>
                <c:pt idx="0">
                  <c:v>0.37195994277539346</c:v>
                </c:pt>
                <c:pt idx="1">
                  <c:v>-4.814814814814815</c:v>
                </c:pt>
                <c:pt idx="2">
                  <c:v>0.9292826142455961</c:v>
                </c:pt>
                <c:pt idx="3">
                  <c:v>-3.443708609271523</c:v>
                </c:pt>
                <c:pt idx="4">
                  <c:v>0.6803470596336593</c:v>
                </c:pt>
                <c:pt idx="5">
                  <c:v>2.8801287208366855</c:v>
                </c:pt>
                <c:pt idx="6">
                  <c:v>-6.525096525096525</c:v>
                </c:pt>
                <c:pt idx="7">
                  <c:v>7.000916855667616</c:v>
                </c:pt>
                <c:pt idx="8">
                  <c:v>3.7834056247376524</c:v>
                </c:pt>
                <c:pt idx="9">
                  <c:v>2.539165818921669</c:v>
                </c:pt>
                <c:pt idx="10">
                  <c:v>0.2954461520979517</c:v>
                </c:pt>
                <c:pt idx="11">
                  <c:v>0.3712517848643503</c:v>
                </c:pt>
                <c:pt idx="12">
                  <c:v>0.964451313755796</c:v>
                </c:pt>
                <c:pt idx="13">
                  <c:v>0.7953281423804227</c:v>
                </c:pt>
                <c:pt idx="14">
                  <c:v>-0.5017152658662093</c:v>
                </c:pt>
                <c:pt idx="15">
                  <c:v>2.1621621621621623</c:v>
                </c:pt>
                <c:pt idx="16">
                  <c:v>0.9887811370983076</c:v>
                </c:pt>
                <c:pt idx="17">
                  <c:v>-0.23385968418948633</c:v>
                </c:pt>
                <c:pt idx="18">
                  <c:v>2.3290267011197243</c:v>
                </c:pt>
                <c:pt idx="19">
                  <c:v>1.103230890464933</c:v>
                </c:pt>
                <c:pt idx="20">
                  <c:v>1.3401136703559677</c:v>
                </c:pt>
                <c:pt idx="21">
                  <c:v>0.5926864017729935</c:v>
                </c:pt>
                <c:pt idx="22">
                  <c:v>-0.1032668056796743</c:v>
                </c:pt>
                <c:pt idx="23">
                  <c:v>0.9140549031341163</c:v>
                </c:pt>
                <c:pt idx="24">
                  <c:v>-0.16277468227634131</c:v>
                </c:pt>
                <c:pt idx="25">
                  <c:v>4.598378776713338</c:v>
                </c:pt>
                <c:pt idx="26">
                  <c:v>4.929768917082011</c:v>
                </c:pt>
                <c:pt idx="27">
                  <c:v>0.8950086058519794</c:v>
                </c:pt>
                <c:pt idx="28">
                  <c:v>2.098294505217364</c:v>
                </c:pt>
                <c:pt idx="29">
                  <c:v>-1.5513126491646778</c:v>
                </c:pt>
                <c:pt idx="30">
                  <c:v>-1.8617283950617283</c:v>
                </c:pt>
                <c:pt idx="31">
                  <c:v>0.9902067464635473</c:v>
                </c:pt>
                <c:pt idx="32">
                  <c:v>1.9521035598705503</c:v>
                </c:pt>
                <c:pt idx="33">
                  <c:v>4.4405819006234655</c:v>
                </c:pt>
              </c:numCache>
            </c:numRef>
          </c:val>
        </c:ser>
        <c:axId val="7110288"/>
        <c:axId val="63992593"/>
      </c:barChart>
      <c:catAx>
        <c:axId val="7110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auto val="0"/>
        <c:lblOffset val="100"/>
        <c:noMultiLvlLbl val="0"/>
      </c:catAx>
      <c:valAx>
        <c:axId val="6399259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10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mi-distance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25"/>
          <c:w val="1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stats!$C$5:$C$38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stats!$J$5:$J$38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0.3230769230769231</c:v>
                </c:pt>
                <c:pt idx="3">
                  <c:v>0.25</c:v>
                </c:pt>
                <c:pt idx="4">
                  <c:v>0.3058823529411765</c:v>
                </c:pt>
                <c:pt idx="5">
                  <c:v>0.37740384615384615</c:v>
                </c:pt>
                <c:pt idx="7">
                  <c:v>0.2564102564102564</c:v>
                </c:pt>
                <c:pt idx="8">
                  <c:v>0.2909090909090909</c:v>
                </c:pt>
                <c:pt idx="9">
                  <c:v>0.2894736842105263</c:v>
                </c:pt>
                <c:pt idx="10">
                  <c:v>0.24503311258278146</c:v>
                </c:pt>
                <c:pt idx="11">
                  <c:v>0</c:v>
                </c:pt>
                <c:pt idx="12">
                  <c:v>0.5351351351351351</c:v>
                </c:pt>
                <c:pt idx="13">
                  <c:v>0.35856573705179284</c:v>
                </c:pt>
                <c:pt idx="14">
                  <c:v>0.27941176470588236</c:v>
                </c:pt>
                <c:pt idx="15">
                  <c:v>0.3333333333333333</c:v>
                </c:pt>
                <c:pt idx="16">
                  <c:v>0.35714285714285715</c:v>
                </c:pt>
                <c:pt idx="17">
                  <c:v>0.21428571428571427</c:v>
                </c:pt>
                <c:pt idx="18">
                  <c:v>0.2857142857142857</c:v>
                </c:pt>
                <c:pt idx="19">
                  <c:v>0.3176470588235294</c:v>
                </c:pt>
                <c:pt idx="20">
                  <c:v>0.20689655172413793</c:v>
                </c:pt>
                <c:pt idx="21">
                  <c:v>0.271523178807947</c:v>
                </c:pt>
                <c:pt idx="22">
                  <c:v>0.2857142857142857</c:v>
                </c:pt>
                <c:pt idx="23">
                  <c:v>0.36054421768707484</c:v>
                </c:pt>
                <c:pt idx="24">
                  <c:v>0.37857142857142856</c:v>
                </c:pt>
                <c:pt idx="25">
                  <c:v>0.25</c:v>
                </c:pt>
                <c:pt idx="26">
                  <c:v>0.2702702702702703</c:v>
                </c:pt>
                <c:pt idx="27">
                  <c:v>0.25</c:v>
                </c:pt>
                <c:pt idx="28">
                  <c:v>0.3333333333333333</c:v>
                </c:pt>
                <c:pt idx="29">
                  <c:v>0</c:v>
                </c:pt>
                <c:pt idx="30">
                  <c:v>0.2698412698412698</c:v>
                </c:pt>
                <c:pt idx="31">
                  <c:v>0.2891566265060241</c:v>
                </c:pt>
                <c:pt idx="32">
                  <c:v>0.33695652173913043</c:v>
                </c:pt>
                <c:pt idx="33">
                  <c:v>0.4225352112676056</c:v>
                </c:pt>
              </c:numCache>
            </c:numRef>
          </c:val>
        </c:ser>
        <c:axId val="33114990"/>
        <c:axId val="29599455"/>
      </c:bar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599455"/>
        <c:crosses val="autoZero"/>
        <c:auto val="0"/>
        <c:lblOffset val="100"/>
        <c:noMultiLvlLbl val="0"/>
      </c:catAx>
      <c:valAx>
        <c:axId val="2959945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1499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2 points
(raquette + mi-distance)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1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stats!$C$5:$C$38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stats!$K$5:$K$38</c:f>
              <c:numCache>
                <c:ptCount val="34"/>
                <c:pt idx="0">
                  <c:v>0.3333333333333333</c:v>
                </c:pt>
                <c:pt idx="1">
                  <c:v>0.4444444444444444</c:v>
                </c:pt>
                <c:pt idx="2">
                  <c:v>0.392</c:v>
                </c:pt>
                <c:pt idx="3">
                  <c:v>0.2857142857142857</c:v>
                </c:pt>
                <c:pt idx="4">
                  <c:v>0.37623762376237624</c:v>
                </c:pt>
                <c:pt idx="5">
                  <c:v>0.47502903600464574</c:v>
                </c:pt>
                <c:pt idx="6">
                  <c:v>0.52</c:v>
                </c:pt>
                <c:pt idx="7">
                  <c:v>0.48945147679324896</c:v>
                </c:pt>
                <c:pt idx="8">
                  <c:v>0.5190476190476191</c:v>
                </c:pt>
                <c:pt idx="9">
                  <c:v>0.46942615239887114</c:v>
                </c:pt>
                <c:pt idx="10">
                  <c:v>0.48720292504570384</c:v>
                </c:pt>
                <c:pt idx="11">
                  <c:v>0.3541666666666667</c:v>
                </c:pt>
                <c:pt idx="12">
                  <c:v>0.5692695214105793</c:v>
                </c:pt>
                <c:pt idx="13">
                  <c:v>0.44376899696048633</c:v>
                </c:pt>
                <c:pt idx="14">
                  <c:v>0.41702127659574467</c:v>
                </c:pt>
                <c:pt idx="15">
                  <c:v>0.3619047619047619</c:v>
                </c:pt>
                <c:pt idx="16">
                  <c:v>0.46808510638297873</c:v>
                </c:pt>
                <c:pt idx="17">
                  <c:v>0.5</c:v>
                </c:pt>
                <c:pt idx="18">
                  <c:v>0.5089820359281437</c:v>
                </c:pt>
                <c:pt idx="19">
                  <c:v>0.4750430292598967</c:v>
                </c:pt>
                <c:pt idx="20">
                  <c:v>0.5501392757660167</c:v>
                </c:pt>
                <c:pt idx="21">
                  <c:v>0.5251479289940828</c:v>
                </c:pt>
                <c:pt idx="22">
                  <c:v>0.5378151260504201</c:v>
                </c:pt>
                <c:pt idx="23">
                  <c:v>0.4288</c:v>
                </c:pt>
                <c:pt idx="24">
                  <c:v>0.4307496823379924</c:v>
                </c:pt>
                <c:pt idx="25">
                  <c:v>0.2777777777777778</c:v>
                </c:pt>
                <c:pt idx="26">
                  <c:v>0.5499079189686924</c:v>
                </c:pt>
                <c:pt idx="27">
                  <c:v>0.45652173913043476</c:v>
                </c:pt>
                <c:pt idx="28">
                  <c:v>0.3333333333333333</c:v>
                </c:pt>
                <c:pt idx="29">
                  <c:v>0.4</c:v>
                </c:pt>
                <c:pt idx="30">
                  <c:v>0.5254237288135594</c:v>
                </c:pt>
                <c:pt idx="31">
                  <c:v>0.41237113402061853</c:v>
                </c:pt>
                <c:pt idx="32">
                  <c:v>0.4825174825174825</c:v>
                </c:pt>
                <c:pt idx="33">
                  <c:v>0.48554913294797686</c:v>
                </c:pt>
              </c:numCache>
            </c:numRef>
          </c:val>
        </c:ser>
        <c:axId val="65068504"/>
        <c:axId val="48745625"/>
      </c:bar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auto val="0"/>
        <c:lblOffset val="100"/>
        <c:noMultiLvlLbl val="0"/>
      </c:catAx>
      <c:valAx>
        <c:axId val="4874562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68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3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1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stats!$C$5:$C$38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stats!$N$5:$N$38</c:f>
              <c:numCache>
                <c:ptCount val="34"/>
                <c:pt idx="0">
                  <c:v>0</c:v>
                </c:pt>
                <c:pt idx="1">
                  <c:v>1</c:v>
                </c:pt>
                <c:pt idx="2">
                  <c:v>0.3858267716535433</c:v>
                </c:pt>
                <c:pt idx="4">
                  <c:v>0.391304347826087</c:v>
                </c:pt>
                <c:pt idx="5">
                  <c:v>0.3656509695290859</c:v>
                </c:pt>
                <c:pt idx="7">
                  <c:v>0.11764705882352941</c:v>
                </c:pt>
                <c:pt idx="8">
                  <c:v>0.28212290502793297</c:v>
                </c:pt>
                <c:pt idx="9">
                  <c:v>0.21710526315789475</c:v>
                </c:pt>
                <c:pt idx="10">
                  <c:v>0.25</c:v>
                </c:pt>
                <c:pt idx="12">
                  <c:v>0.3793103448275862</c:v>
                </c:pt>
                <c:pt idx="13">
                  <c:v>0.3113207547169811</c:v>
                </c:pt>
                <c:pt idx="14">
                  <c:v>0.2808988764044944</c:v>
                </c:pt>
                <c:pt idx="16">
                  <c:v>0.23333333333333334</c:v>
                </c:pt>
                <c:pt idx="18">
                  <c:v>0.2782874617737003</c:v>
                </c:pt>
                <c:pt idx="19">
                  <c:v>0.2857142857142857</c:v>
                </c:pt>
                <c:pt idx="20">
                  <c:v>0.2866817155756208</c:v>
                </c:pt>
                <c:pt idx="21">
                  <c:v>0.2088607594936709</c:v>
                </c:pt>
                <c:pt idx="22">
                  <c:v>0</c:v>
                </c:pt>
                <c:pt idx="23">
                  <c:v>0.27419354838709675</c:v>
                </c:pt>
                <c:pt idx="24">
                  <c:v>0</c:v>
                </c:pt>
                <c:pt idx="25">
                  <c:v>0</c:v>
                </c:pt>
                <c:pt idx="26">
                  <c:v>0.2727272727272727</c:v>
                </c:pt>
                <c:pt idx="27">
                  <c:v>0.38461538461538464</c:v>
                </c:pt>
                <c:pt idx="28">
                  <c:v>0.21818181818181817</c:v>
                </c:pt>
                <c:pt idx="29">
                  <c:v>0.2608695652173913</c:v>
                </c:pt>
                <c:pt idx="30">
                  <c:v>0</c:v>
                </c:pt>
                <c:pt idx="31">
                  <c:v>0.25</c:v>
                </c:pt>
                <c:pt idx="32">
                  <c:v>0.30714285714285716</c:v>
                </c:pt>
                <c:pt idx="33">
                  <c:v>0.34365325077399383</c:v>
                </c:pt>
              </c:numCache>
            </c:numRef>
          </c:val>
        </c:ser>
        <c:axId val="36057442"/>
        <c:axId val="56081523"/>
      </c:bar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0"/>
        <c:lblOffset val="100"/>
        <c:noMultiLvlLbl val="0"/>
      </c:catAx>
      <c:valAx>
        <c:axId val="5608152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5744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aux lancers-francs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stats!$C$5:$C$38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stats!$Q$5:$Q$38</c:f>
              <c:numCache>
                <c:ptCount val="34"/>
                <c:pt idx="0">
                  <c:v>0.46153846153846156</c:v>
                </c:pt>
                <c:pt idx="1">
                  <c:v>0.7142857142857143</c:v>
                </c:pt>
                <c:pt idx="2">
                  <c:v>0.6851851851851852</c:v>
                </c:pt>
                <c:pt idx="3">
                  <c:v>0.16666666666666666</c:v>
                </c:pt>
                <c:pt idx="4">
                  <c:v>0.5144927536231884</c:v>
                </c:pt>
                <c:pt idx="5">
                  <c:v>0.7575757575757576</c:v>
                </c:pt>
                <c:pt idx="6">
                  <c:v>0.5294117647058824</c:v>
                </c:pt>
                <c:pt idx="7">
                  <c:v>0.4120603015075377</c:v>
                </c:pt>
                <c:pt idx="8">
                  <c:v>0.7295081967213115</c:v>
                </c:pt>
                <c:pt idx="9">
                  <c:v>0.5015673981191222</c:v>
                </c:pt>
                <c:pt idx="10">
                  <c:v>0.5204402515723271</c:v>
                </c:pt>
                <c:pt idx="11">
                  <c:v>0.3</c:v>
                </c:pt>
                <c:pt idx="12">
                  <c:v>0.8627450980392157</c:v>
                </c:pt>
                <c:pt idx="13">
                  <c:v>0.754257907542579</c:v>
                </c:pt>
                <c:pt idx="14">
                  <c:v>0.6753246753246753</c:v>
                </c:pt>
                <c:pt idx="15">
                  <c:v>0.5277777777777778</c:v>
                </c:pt>
                <c:pt idx="16">
                  <c:v>0.5084745762711864</c:v>
                </c:pt>
                <c:pt idx="17">
                  <c:v>0.5333333333333333</c:v>
                </c:pt>
                <c:pt idx="18">
                  <c:v>0.7572815533980582</c:v>
                </c:pt>
                <c:pt idx="19">
                  <c:v>0.6068376068376068</c:v>
                </c:pt>
                <c:pt idx="20">
                  <c:v>0.5944700460829493</c:v>
                </c:pt>
                <c:pt idx="21">
                  <c:v>0.5900621118012422</c:v>
                </c:pt>
                <c:pt idx="22">
                  <c:v>0.6705882352941176</c:v>
                </c:pt>
                <c:pt idx="23">
                  <c:v>0.65</c:v>
                </c:pt>
                <c:pt idx="24">
                  <c:v>0.46551724137931033</c:v>
                </c:pt>
                <c:pt idx="25">
                  <c:v>0.5818181818181818</c:v>
                </c:pt>
                <c:pt idx="26">
                  <c:v>0.5741097208854667</c:v>
                </c:pt>
                <c:pt idx="27">
                  <c:v>0.6027397260273972</c:v>
                </c:pt>
                <c:pt idx="28">
                  <c:v>0.56</c:v>
                </c:pt>
                <c:pt idx="29">
                  <c:v>1</c:v>
                </c:pt>
                <c:pt idx="30">
                  <c:v>0.4782608695652174</c:v>
                </c:pt>
                <c:pt idx="31">
                  <c:v>0.5208333333333334</c:v>
                </c:pt>
                <c:pt idx="32">
                  <c:v>0.56875</c:v>
                </c:pt>
                <c:pt idx="33">
                  <c:v>0.7797619047619048</c:v>
                </c:pt>
              </c:numCache>
            </c:numRef>
          </c:val>
        </c:ser>
        <c:axId val="34971660"/>
        <c:axId val="46309485"/>
      </c:bar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auto val="0"/>
        <c:lblOffset val="100"/>
        <c:noMultiLvlLbl val="0"/>
      </c:catAx>
      <c:valAx>
        <c:axId val="4630948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71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Moyenne des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stats!$D$44:$D$77</c:f>
              <c:numCache>
                <c:ptCount val="34"/>
                <c:pt idx="0">
                  <c:v>1.1666666666666667</c:v>
                </c:pt>
                <c:pt idx="1">
                  <c:v>2.111111111111111</c:v>
                </c:pt>
                <c:pt idx="2">
                  <c:v>15.666666666666666</c:v>
                </c:pt>
                <c:pt idx="3">
                  <c:v>0.8333333333333334</c:v>
                </c:pt>
                <c:pt idx="4">
                  <c:v>6.295454545454546</c:v>
                </c:pt>
                <c:pt idx="5">
                  <c:v>19.930232558139537</c:v>
                </c:pt>
                <c:pt idx="6">
                  <c:v>2.3333333333333335</c:v>
                </c:pt>
                <c:pt idx="7">
                  <c:v>5.724137931034483</c:v>
                </c:pt>
                <c:pt idx="8">
                  <c:v>14.186046511627907</c:v>
                </c:pt>
                <c:pt idx="9">
                  <c:v>8.847222222222221</c:v>
                </c:pt>
                <c:pt idx="10">
                  <c:v>9.393333333333333</c:v>
                </c:pt>
                <c:pt idx="11">
                  <c:v>2.0476190476190474</c:v>
                </c:pt>
                <c:pt idx="12">
                  <c:v>16.19277108433735</c:v>
                </c:pt>
                <c:pt idx="13">
                  <c:v>16.8</c:v>
                </c:pt>
                <c:pt idx="14">
                  <c:v>7.690476190476191</c:v>
                </c:pt>
                <c:pt idx="15">
                  <c:v>3.5185185185185186</c:v>
                </c:pt>
                <c:pt idx="16">
                  <c:v>3.2</c:v>
                </c:pt>
                <c:pt idx="17">
                  <c:v>4.380952380952381</c:v>
                </c:pt>
                <c:pt idx="18">
                  <c:v>17.88372093023256</c:v>
                </c:pt>
                <c:pt idx="19">
                  <c:v>17.073170731707318</c:v>
                </c:pt>
                <c:pt idx="20">
                  <c:v>12.569444444444445</c:v>
                </c:pt>
                <c:pt idx="21">
                  <c:v>8</c:v>
                </c:pt>
                <c:pt idx="22">
                  <c:v>7.4523809523809526</c:v>
                </c:pt>
                <c:pt idx="23">
                  <c:v>9.311827956989248</c:v>
                </c:pt>
                <c:pt idx="24">
                  <c:v>5.2052980132450335</c:v>
                </c:pt>
                <c:pt idx="25">
                  <c:v>2.6956521739130435</c:v>
                </c:pt>
                <c:pt idx="26">
                  <c:v>15.185430463576159</c:v>
                </c:pt>
                <c:pt idx="27">
                  <c:v>5.138888888888889</c:v>
                </c:pt>
                <c:pt idx="28">
                  <c:v>1.009009009009009</c:v>
                </c:pt>
                <c:pt idx="29">
                  <c:v>2.25</c:v>
                </c:pt>
                <c:pt idx="30">
                  <c:v>15.15</c:v>
                </c:pt>
                <c:pt idx="31">
                  <c:v>9.095238095238095</c:v>
                </c:pt>
                <c:pt idx="32">
                  <c:v>14.534883720930232</c:v>
                </c:pt>
                <c:pt idx="33">
                  <c:v>9.875</c:v>
                </c:pt>
              </c:numCache>
            </c:numRef>
          </c:val>
        </c:ser>
        <c:axId val="14132182"/>
        <c:axId val="60080775"/>
      </c:bar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080775"/>
        <c:crosses val="autoZero"/>
        <c:auto val="0"/>
        <c:lblOffset val="100"/>
        <c:noMultiLvlLbl val="0"/>
      </c:catAx>
      <c:valAx>
        <c:axId val="6008077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4132182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Moyenne des shoots tentés par match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99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stats!$I$44:$I$77</c:f>
              <c:numCache>
                <c:ptCount val="34"/>
                <c:pt idx="0">
                  <c:v>1.25</c:v>
                </c:pt>
                <c:pt idx="1">
                  <c:v>1.2222222222222223</c:v>
                </c:pt>
                <c:pt idx="2">
                  <c:v>14</c:v>
                </c:pt>
                <c:pt idx="3">
                  <c:v>1.1666666666666667</c:v>
                </c:pt>
                <c:pt idx="4">
                  <c:v>5.636363636363637</c:v>
                </c:pt>
                <c:pt idx="5">
                  <c:v>14.209302325581396</c:v>
                </c:pt>
                <c:pt idx="6">
                  <c:v>1.6666666666666667</c:v>
                </c:pt>
                <c:pt idx="7">
                  <c:v>4.9655172413793105</c:v>
                </c:pt>
                <c:pt idx="8">
                  <c:v>13.209302325581396</c:v>
                </c:pt>
                <c:pt idx="9">
                  <c:v>8.4375</c:v>
                </c:pt>
                <c:pt idx="10">
                  <c:v>7.4</c:v>
                </c:pt>
                <c:pt idx="11">
                  <c:v>2.2857142857142856</c:v>
                </c:pt>
                <c:pt idx="12">
                  <c:v>10.963855421686747</c:v>
                </c:pt>
                <c:pt idx="13">
                  <c:v>13.384615384615385</c:v>
                </c:pt>
                <c:pt idx="14">
                  <c:v>7.714285714285714</c:v>
                </c:pt>
                <c:pt idx="15">
                  <c:v>3.888888888888889</c:v>
                </c:pt>
                <c:pt idx="16">
                  <c:v>3.08</c:v>
                </c:pt>
                <c:pt idx="17">
                  <c:v>3.1746031746031744</c:v>
                </c:pt>
                <c:pt idx="18">
                  <c:v>15.372093023255815</c:v>
                </c:pt>
                <c:pt idx="19">
                  <c:v>14.341463414634147</c:v>
                </c:pt>
                <c:pt idx="20">
                  <c:v>11.13888888888889</c:v>
                </c:pt>
                <c:pt idx="21">
                  <c:v>7.380530973451328</c:v>
                </c:pt>
                <c:pt idx="22">
                  <c:v>5.690476190476191</c:v>
                </c:pt>
                <c:pt idx="23">
                  <c:v>8.053763440860216</c:v>
                </c:pt>
                <c:pt idx="24">
                  <c:v>5.251655629139073</c:v>
                </c:pt>
                <c:pt idx="25">
                  <c:v>2.391304347826087</c:v>
                </c:pt>
                <c:pt idx="26">
                  <c:v>9.026490066225165</c:v>
                </c:pt>
                <c:pt idx="27">
                  <c:v>4.194444444444445</c:v>
                </c:pt>
                <c:pt idx="28">
                  <c:v>0.954954954954955</c:v>
                </c:pt>
                <c:pt idx="29">
                  <c:v>2.3333333333333335</c:v>
                </c:pt>
                <c:pt idx="30">
                  <c:v>12</c:v>
                </c:pt>
                <c:pt idx="31">
                  <c:v>9.619047619047619</c:v>
                </c:pt>
                <c:pt idx="32">
                  <c:v>13.162790697674419</c:v>
                </c:pt>
                <c:pt idx="33">
                  <c:v>7.75</c:v>
                </c:pt>
              </c:numCache>
            </c:numRef>
          </c:val>
        </c:ser>
        <c:axId val="3856064"/>
        <c:axId val="34704577"/>
      </c:barChart>
      <c:catAx>
        <c:axId val="3856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704577"/>
        <c:crosses val="autoZero"/>
        <c:auto val="0"/>
        <c:lblOffset val="100"/>
        <c:noMultiLvlLbl val="0"/>
      </c:catAx>
      <c:valAx>
        <c:axId val="3470457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856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Rebonds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1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stats!$Q$44:$Q$77</c:f>
              <c:numCache>
                <c:ptCount val="34"/>
                <c:pt idx="0">
                  <c:v>0.5833333333333334</c:v>
                </c:pt>
                <c:pt idx="1">
                  <c:v>0.3333333333333333</c:v>
                </c:pt>
                <c:pt idx="2">
                  <c:v>2.8333333333333335</c:v>
                </c:pt>
                <c:pt idx="3">
                  <c:v>0.16666666666666666</c:v>
                </c:pt>
                <c:pt idx="4">
                  <c:v>3.75</c:v>
                </c:pt>
                <c:pt idx="5">
                  <c:v>5.383720930232558</c:v>
                </c:pt>
                <c:pt idx="6">
                  <c:v>1.6666666666666667</c:v>
                </c:pt>
                <c:pt idx="7">
                  <c:v>4.155172413793103</c:v>
                </c:pt>
                <c:pt idx="8">
                  <c:v>2.558139534883721</c:v>
                </c:pt>
                <c:pt idx="9">
                  <c:v>3.7152777777777777</c:v>
                </c:pt>
                <c:pt idx="10">
                  <c:v>3.8</c:v>
                </c:pt>
                <c:pt idx="11">
                  <c:v>5.476190476190476</c:v>
                </c:pt>
                <c:pt idx="12">
                  <c:v>6.421686746987952</c:v>
                </c:pt>
                <c:pt idx="13">
                  <c:v>4.553846153846154</c:v>
                </c:pt>
                <c:pt idx="14">
                  <c:v>2.1666666666666665</c:v>
                </c:pt>
                <c:pt idx="15">
                  <c:v>4</c:v>
                </c:pt>
                <c:pt idx="16">
                  <c:v>1.34</c:v>
                </c:pt>
                <c:pt idx="17">
                  <c:v>3.8015873015873014</c:v>
                </c:pt>
                <c:pt idx="18">
                  <c:v>9.86046511627907</c:v>
                </c:pt>
                <c:pt idx="19">
                  <c:v>10.292682926829269</c:v>
                </c:pt>
                <c:pt idx="20">
                  <c:v>2.3680555555555554</c:v>
                </c:pt>
                <c:pt idx="21">
                  <c:v>4.592920353982301</c:v>
                </c:pt>
                <c:pt idx="22">
                  <c:v>5.238095238095238</c:v>
                </c:pt>
                <c:pt idx="23">
                  <c:v>2.6344086021505375</c:v>
                </c:pt>
                <c:pt idx="24">
                  <c:v>4.589403973509934</c:v>
                </c:pt>
                <c:pt idx="25">
                  <c:v>1.7391304347826086</c:v>
                </c:pt>
                <c:pt idx="26">
                  <c:v>7.182119205298013</c:v>
                </c:pt>
                <c:pt idx="27">
                  <c:v>1.6944444444444444</c:v>
                </c:pt>
                <c:pt idx="28">
                  <c:v>1.7387387387387387</c:v>
                </c:pt>
                <c:pt idx="29">
                  <c:v>0.5833333333333334</c:v>
                </c:pt>
                <c:pt idx="30">
                  <c:v>11.6</c:v>
                </c:pt>
                <c:pt idx="31">
                  <c:v>6.190476190476191</c:v>
                </c:pt>
                <c:pt idx="32">
                  <c:v>5.627906976744186</c:v>
                </c:pt>
                <c:pt idx="33">
                  <c:v>2.859375</c:v>
                </c:pt>
              </c:numCache>
            </c:numRef>
          </c:val>
        </c:ser>
        <c:axId val="43905738"/>
        <c:axId val="59607323"/>
      </c:bar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607323"/>
        <c:crosses val="autoZero"/>
        <c:auto val="0"/>
        <c:lblOffset val="100"/>
        <c:noMultiLvlLbl val="0"/>
      </c:catAx>
      <c:valAx>
        <c:axId val="5960732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3905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Rebonds défensifs et offensifs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25"/>
          <c:w val="1"/>
          <c:h val="0.8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stats!$R$43:$R$43</c:f>
              <c:strCache>
                <c:ptCount val="1"/>
                <c:pt idx="0">
                  <c:v>Rbds déf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stats!$R$44:$R$77</c:f>
              <c:numCache>
                <c:ptCount val="34"/>
                <c:pt idx="0">
                  <c:v>0.5</c:v>
                </c:pt>
                <c:pt idx="1">
                  <c:v>0.2222222222222222</c:v>
                </c:pt>
                <c:pt idx="2">
                  <c:v>2.0555555555555554</c:v>
                </c:pt>
                <c:pt idx="3">
                  <c:v>0</c:v>
                </c:pt>
                <c:pt idx="4">
                  <c:v>2.909090909090909</c:v>
                </c:pt>
                <c:pt idx="5">
                  <c:v>4.267441860465116</c:v>
                </c:pt>
                <c:pt idx="6">
                  <c:v>1</c:v>
                </c:pt>
                <c:pt idx="7">
                  <c:v>3.0344827586206895</c:v>
                </c:pt>
                <c:pt idx="8">
                  <c:v>1.8604651162790697</c:v>
                </c:pt>
                <c:pt idx="9">
                  <c:v>1.6180555555555556</c:v>
                </c:pt>
                <c:pt idx="10">
                  <c:v>2.2</c:v>
                </c:pt>
                <c:pt idx="11">
                  <c:v>3.8095238095238093</c:v>
                </c:pt>
                <c:pt idx="12">
                  <c:v>5.156626506024097</c:v>
                </c:pt>
                <c:pt idx="13">
                  <c:v>3.1076923076923078</c:v>
                </c:pt>
                <c:pt idx="14">
                  <c:v>1.3571428571428572</c:v>
                </c:pt>
                <c:pt idx="15">
                  <c:v>2.5555555555555554</c:v>
                </c:pt>
                <c:pt idx="16">
                  <c:v>1.16</c:v>
                </c:pt>
                <c:pt idx="17">
                  <c:v>2.2142857142857144</c:v>
                </c:pt>
                <c:pt idx="18">
                  <c:v>8.418604651162791</c:v>
                </c:pt>
                <c:pt idx="19">
                  <c:v>6.682926829268292</c:v>
                </c:pt>
                <c:pt idx="20">
                  <c:v>1.8680555555555556</c:v>
                </c:pt>
                <c:pt idx="21">
                  <c:v>3.274336283185841</c:v>
                </c:pt>
                <c:pt idx="22">
                  <c:v>2.7857142857142856</c:v>
                </c:pt>
                <c:pt idx="23">
                  <c:v>2.139784946236559</c:v>
                </c:pt>
                <c:pt idx="24">
                  <c:v>3.1589403973509933</c:v>
                </c:pt>
                <c:pt idx="25">
                  <c:v>0.9130434782608695</c:v>
                </c:pt>
                <c:pt idx="26">
                  <c:v>4.629139072847682</c:v>
                </c:pt>
                <c:pt idx="27">
                  <c:v>0.7777777777777778</c:v>
                </c:pt>
                <c:pt idx="28">
                  <c:v>1.6486486486486487</c:v>
                </c:pt>
                <c:pt idx="29">
                  <c:v>0.4166666666666667</c:v>
                </c:pt>
                <c:pt idx="30">
                  <c:v>7.4</c:v>
                </c:pt>
                <c:pt idx="31">
                  <c:v>3.6666666666666665</c:v>
                </c:pt>
                <c:pt idx="32">
                  <c:v>3.86046511627907</c:v>
                </c:pt>
                <c:pt idx="33">
                  <c:v>2.546875</c:v>
                </c:pt>
              </c:numCache>
            </c:numRef>
          </c:val>
        </c:ser>
        <c:ser>
          <c:idx val="1"/>
          <c:order val="1"/>
          <c:tx>
            <c:strRef>
              <c:f>stats!$S$43:$S$43</c:f>
              <c:strCache>
                <c:ptCount val="1"/>
                <c:pt idx="0">
                  <c:v>Rbds off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stats!$C$44:$C$77</c:f>
              <c:strCache>
                <c:ptCount val="34"/>
                <c:pt idx="0">
                  <c:v>Botteron Christophe</c:v>
                </c:pt>
                <c:pt idx="1">
                  <c:v>Botteron Claude</c:v>
                </c:pt>
                <c:pt idx="2">
                  <c:v>Botton Fred</c:v>
                </c:pt>
                <c:pt idx="3">
                  <c:v>Camara Mickaël</c:v>
                </c:pt>
                <c:pt idx="4">
                  <c:v>Charpentier Virgile</c:v>
                </c:pt>
                <c:pt idx="5">
                  <c:v>Condemine Didier</c:v>
                </c:pt>
                <c:pt idx="6">
                  <c:v>Copéret Gilles</c:v>
                </c:pt>
                <c:pt idx="7">
                  <c:v>Cosset Cédric</c:v>
                </c:pt>
                <c:pt idx="8">
                  <c:v>Cosset Karl</c:v>
                </c:pt>
                <c:pt idx="9">
                  <c:v>Ducrot Franck</c:v>
                </c:pt>
                <c:pt idx="10">
                  <c:v>Ducrot Gilles</c:v>
                </c:pt>
                <c:pt idx="11">
                  <c:v>Dupont Franck</c:v>
                </c:pt>
                <c:pt idx="12">
                  <c:v>Evtimov Ilia</c:v>
                </c:pt>
                <c:pt idx="13">
                  <c:v>Ganozzi Sébastien</c:v>
                </c:pt>
                <c:pt idx="14">
                  <c:v>Geoffray Didier</c:v>
                </c:pt>
                <c:pt idx="15">
                  <c:v>Geoffray Martial</c:v>
                </c:pt>
                <c:pt idx="16">
                  <c:v>Geoffray Max</c:v>
                </c:pt>
                <c:pt idx="17">
                  <c:v>Girin Philippe</c:v>
                </c:pt>
                <c:pt idx="18">
                  <c:v>Grosset Olivier</c:v>
                </c:pt>
                <c:pt idx="19">
                  <c:v>Lapalu Gérard</c:v>
                </c:pt>
                <c:pt idx="20">
                  <c:v>Lathuilière Cédric</c:v>
                </c:pt>
                <c:pt idx="21">
                  <c:v>Loron Fred</c:v>
                </c:pt>
                <c:pt idx="22">
                  <c:v>Martin Brice</c:v>
                </c:pt>
                <c:pt idx="23">
                  <c:v>Mathon Fred</c:v>
                </c:pt>
                <c:pt idx="24">
                  <c:v>Mathon Stéphane</c:v>
                </c:pt>
                <c:pt idx="25">
                  <c:v>Paris Gilles</c:v>
                </c:pt>
                <c:pt idx="26">
                  <c:v>Paris Jérôme</c:v>
                </c:pt>
                <c:pt idx="27">
                  <c:v>Poncet Stéphane</c:v>
                </c:pt>
                <c:pt idx="28">
                  <c:v>Sanchez Michel</c:v>
                </c:pt>
                <c:pt idx="29">
                  <c:v>Scomparin Joël</c:v>
                </c:pt>
                <c:pt idx="30">
                  <c:v>Smith Joe</c:v>
                </c:pt>
                <c:pt idx="31">
                  <c:v>Souzy Paul</c:v>
                </c:pt>
                <c:pt idx="32">
                  <c:v>Tartarat Mathieu</c:v>
                </c:pt>
                <c:pt idx="33">
                  <c:v>Vignau Alain</c:v>
                </c:pt>
              </c:strCache>
            </c:strRef>
          </c:cat>
          <c:val>
            <c:numRef>
              <c:f>stats!$S$44:$S$77</c:f>
              <c:numCache>
                <c:ptCount val="34"/>
                <c:pt idx="0">
                  <c:v>0.08333333333333333</c:v>
                </c:pt>
                <c:pt idx="1">
                  <c:v>0.1111111111111111</c:v>
                </c:pt>
                <c:pt idx="2">
                  <c:v>0.7777777777777778</c:v>
                </c:pt>
                <c:pt idx="3">
                  <c:v>0.16666666666666666</c:v>
                </c:pt>
                <c:pt idx="4">
                  <c:v>0.8409090909090909</c:v>
                </c:pt>
                <c:pt idx="5">
                  <c:v>1.1162790697674418</c:v>
                </c:pt>
                <c:pt idx="6">
                  <c:v>0.6666666666666666</c:v>
                </c:pt>
                <c:pt idx="7">
                  <c:v>1.1206896551724137</c:v>
                </c:pt>
                <c:pt idx="8">
                  <c:v>0.6976744186046512</c:v>
                </c:pt>
                <c:pt idx="9">
                  <c:v>2.0972222222222223</c:v>
                </c:pt>
                <c:pt idx="10">
                  <c:v>1.6</c:v>
                </c:pt>
                <c:pt idx="11">
                  <c:v>1.6666666666666667</c:v>
                </c:pt>
                <c:pt idx="12">
                  <c:v>1.2650602409638554</c:v>
                </c:pt>
                <c:pt idx="13">
                  <c:v>1.4461538461538461</c:v>
                </c:pt>
                <c:pt idx="14">
                  <c:v>0.8095238095238095</c:v>
                </c:pt>
                <c:pt idx="15">
                  <c:v>1.4444444444444444</c:v>
                </c:pt>
                <c:pt idx="16">
                  <c:v>0.18</c:v>
                </c:pt>
                <c:pt idx="17">
                  <c:v>1.5873015873015872</c:v>
                </c:pt>
                <c:pt idx="18">
                  <c:v>1.441860465116279</c:v>
                </c:pt>
                <c:pt idx="19">
                  <c:v>3.6097560975609757</c:v>
                </c:pt>
                <c:pt idx="20">
                  <c:v>0.5</c:v>
                </c:pt>
                <c:pt idx="21">
                  <c:v>1.3185840707964602</c:v>
                </c:pt>
                <c:pt idx="22">
                  <c:v>2.4523809523809526</c:v>
                </c:pt>
                <c:pt idx="23">
                  <c:v>0.4946236559139785</c:v>
                </c:pt>
                <c:pt idx="24">
                  <c:v>1.4304635761589404</c:v>
                </c:pt>
                <c:pt idx="25">
                  <c:v>0.8260869565217391</c:v>
                </c:pt>
                <c:pt idx="26">
                  <c:v>2.552980132450331</c:v>
                </c:pt>
                <c:pt idx="27">
                  <c:v>0.9166666666666666</c:v>
                </c:pt>
                <c:pt idx="28">
                  <c:v>0.09009009009009009</c:v>
                </c:pt>
                <c:pt idx="29">
                  <c:v>0.16666666666666666</c:v>
                </c:pt>
                <c:pt idx="30">
                  <c:v>4.2</c:v>
                </c:pt>
                <c:pt idx="31">
                  <c:v>2.5238095238095237</c:v>
                </c:pt>
                <c:pt idx="32">
                  <c:v>1.7674418604651163</c:v>
                </c:pt>
                <c:pt idx="33">
                  <c:v>0.3125</c:v>
                </c:pt>
              </c:numCache>
            </c:numRef>
          </c:val>
        </c:ser>
        <c:overlap val="100"/>
        <c:axId val="66703860"/>
        <c:axId val="63463829"/>
      </c:bar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463829"/>
        <c:crosses val="autoZero"/>
        <c:auto val="0"/>
        <c:lblOffset val="100"/>
        <c:noMultiLvlLbl val="0"/>
      </c:catAx>
      <c:valAx>
        <c:axId val="6346382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6703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6"/>
          <c:y val="0.01575"/>
          <c:w val="0.11575"/>
          <c:h val="0.0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42" right="0.69" top="0.45" bottom="0.44" header="0.23" footer="0.27"/>
  <pageSetup horizontalDpi="300" verticalDpi="300" orientation="landscape" paperSize="9"/>
  <headerFooter>
    <oddHeader>&amp;R&amp;D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" bottom="0.6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3.28125" style="0" customWidth="1"/>
    <col min="3" max="3" width="14.00390625" style="0" customWidth="1"/>
    <col min="4" max="4" width="5.7109375" style="0" customWidth="1"/>
    <col min="5" max="6" width="6.140625" style="0" customWidth="1"/>
    <col min="7" max="7" width="8.28125" style="2" customWidth="1"/>
    <col min="8" max="8" width="5.7109375" style="0" customWidth="1"/>
    <col min="9" max="9" width="5.57421875" style="0" customWidth="1"/>
    <col min="10" max="10" width="7.00390625" style="3" customWidth="1"/>
    <col min="11" max="11" width="8.00390625" style="4" customWidth="1"/>
    <col min="12" max="12" width="5.7109375" style="0" customWidth="1"/>
    <col min="13" max="13" width="5.8515625" style="0" customWidth="1"/>
    <col min="14" max="14" width="7.8515625" style="3" customWidth="1"/>
    <col min="15" max="15" width="6.00390625" style="0" customWidth="1"/>
    <col min="16" max="16" width="5.28125" style="0" customWidth="1"/>
    <col min="17" max="17" width="6.8515625" style="3" customWidth="1"/>
    <col min="18" max="19" width="5.57421875" style="0" customWidth="1"/>
    <col min="20" max="21" width="5.8515625" style="0" customWidth="1"/>
    <col min="22" max="22" width="7.28125" style="0" customWidth="1"/>
    <col min="23" max="23" width="5.8515625" style="0" customWidth="1"/>
    <col min="24" max="24" width="5.00390625" style="0" customWidth="1"/>
    <col min="25" max="25" width="5.57421875" style="0" customWidth="1"/>
    <col min="26" max="26" width="4.7109375" style="0" customWidth="1"/>
    <col min="27" max="27" width="3.7109375" style="0" customWidth="1"/>
    <col min="28" max="28" width="7.28125" style="0" customWidth="1"/>
  </cols>
  <sheetData>
    <row r="1" spans="7:30" s="13" customFormat="1" ht="12.75">
      <c r="G1" s="14"/>
      <c r="J1" s="15"/>
      <c r="K1" s="16"/>
      <c r="N1" s="15"/>
      <c r="Q1" s="15"/>
      <c r="AC1"/>
      <c r="AD1"/>
    </row>
    <row r="2" spans="1:30" s="7" customFormat="1" ht="12.75">
      <c r="A2" s="9"/>
      <c r="B2" s="9"/>
      <c r="C2" s="9"/>
      <c r="D2" s="9"/>
      <c r="E2" s="23" t="s">
        <v>44</v>
      </c>
      <c r="F2" s="24"/>
      <c r="G2" s="25"/>
      <c r="H2" s="26"/>
      <c r="I2" s="30"/>
      <c r="J2" s="31"/>
      <c r="K2" s="12"/>
      <c r="L2" s="9"/>
      <c r="M2" s="9"/>
      <c r="N2" s="11"/>
      <c r="O2" s="9"/>
      <c r="P2" s="9"/>
      <c r="Q2" s="11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/>
      <c r="AD2"/>
    </row>
    <row r="3" spans="1:30" s="9" customFormat="1" ht="12.75">
      <c r="A3" s="18"/>
      <c r="B3" s="18"/>
      <c r="E3" s="22"/>
      <c r="G3" s="10"/>
      <c r="H3" s="22"/>
      <c r="J3" s="11"/>
      <c r="K3" s="12"/>
      <c r="N3" s="11"/>
      <c r="Q3" s="11"/>
      <c r="AC3"/>
      <c r="AD3"/>
    </row>
    <row r="4" spans="1:30" s="5" customFormat="1" ht="62.25">
      <c r="A4" s="32" t="s">
        <v>0</v>
      </c>
      <c r="B4" s="32" t="s">
        <v>50</v>
      </c>
      <c r="C4" s="33" t="s">
        <v>46</v>
      </c>
      <c r="D4" s="34" t="s">
        <v>1</v>
      </c>
      <c r="E4" s="34" t="s">
        <v>2</v>
      </c>
      <c r="F4" s="34" t="s">
        <v>3</v>
      </c>
      <c r="G4" s="35" t="s">
        <v>4</v>
      </c>
      <c r="H4" s="34" t="s">
        <v>5</v>
      </c>
      <c r="I4" s="34" t="s">
        <v>6</v>
      </c>
      <c r="J4" s="34" t="s">
        <v>7</v>
      </c>
      <c r="K4" s="36" t="s">
        <v>82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19"/>
      <c r="AD4" s="19"/>
    </row>
    <row r="5" spans="1:28" ht="12.75">
      <c r="A5" s="37">
        <v>12</v>
      </c>
      <c r="B5" s="37">
        <v>2</v>
      </c>
      <c r="C5" s="38" t="s">
        <v>68</v>
      </c>
      <c r="D5" s="39">
        <v>14</v>
      </c>
      <c r="E5" s="40">
        <v>4</v>
      </c>
      <c r="F5" s="40">
        <v>11</v>
      </c>
      <c r="G5" s="41">
        <f aca="true" t="shared" si="0" ref="G5:G39">E5/F5</f>
        <v>0.36363636363636365</v>
      </c>
      <c r="H5" s="40">
        <v>0</v>
      </c>
      <c r="I5" s="40">
        <v>1</v>
      </c>
      <c r="J5" s="41">
        <f aca="true" t="shared" si="1" ref="J5:J20">H5/I5</f>
        <v>0</v>
      </c>
      <c r="K5" s="42">
        <f aca="true" t="shared" si="2" ref="K5:K39">(E5+H5)/(F5+I5)</f>
        <v>0.3333333333333333</v>
      </c>
      <c r="L5" s="40">
        <v>0</v>
      </c>
      <c r="M5" s="40">
        <v>3</v>
      </c>
      <c r="N5" s="41">
        <f>L5/M5</f>
        <v>0</v>
      </c>
      <c r="O5" s="40">
        <v>6</v>
      </c>
      <c r="P5" s="40">
        <v>13</v>
      </c>
      <c r="Q5" s="41">
        <f aca="true" t="shared" si="3" ref="Q5:Q39">O5/P5</f>
        <v>0.46153846153846156</v>
      </c>
      <c r="R5" s="43">
        <v>13</v>
      </c>
      <c r="S5" s="44">
        <v>21</v>
      </c>
      <c r="T5" s="43">
        <v>20</v>
      </c>
      <c r="U5" s="44">
        <v>21</v>
      </c>
      <c r="V5" s="43">
        <v>12</v>
      </c>
      <c r="W5" s="44">
        <v>9</v>
      </c>
      <c r="X5" s="45">
        <v>6</v>
      </c>
      <c r="Y5" s="46">
        <f aca="true" t="shared" si="4" ref="Y5:Y38">X5+Z5</f>
        <v>7</v>
      </c>
      <c r="Z5" s="45">
        <v>1</v>
      </c>
      <c r="AA5" s="43"/>
      <c r="AB5" s="40">
        <f>9885+4095</f>
        <v>13980</v>
      </c>
    </row>
    <row r="6" spans="1:28" ht="12.75">
      <c r="A6" s="37">
        <v>9</v>
      </c>
      <c r="B6" s="37">
        <v>1</v>
      </c>
      <c r="C6" s="38" t="s">
        <v>78</v>
      </c>
      <c r="D6" s="39">
        <v>19</v>
      </c>
      <c r="E6" s="40">
        <v>4</v>
      </c>
      <c r="F6" s="40">
        <v>8</v>
      </c>
      <c r="G6" s="47">
        <f t="shared" si="0"/>
        <v>0.5</v>
      </c>
      <c r="H6" s="40">
        <v>0</v>
      </c>
      <c r="I6" s="40">
        <v>1</v>
      </c>
      <c r="J6" s="41">
        <f t="shared" si="1"/>
        <v>0</v>
      </c>
      <c r="K6" s="42">
        <f t="shared" si="2"/>
        <v>0.4444444444444444</v>
      </c>
      <c r="L6" s="40">
        <v>2</v>
      </c>
      <c r="M6" s="40">
        <v>2</v>
      </c>
      <c r="N6" s="41">
        <f>L6/M6</f>
        <v>1</v>
      </c>
      <c r="O6" s="40">
        <v>5</v>
      </c>
      <c r="P6" s="40">
        <v>7</v>
      </c>
      <c r="Q6" s="41">
        <f t="shared" si="3"/>
        <v>0.7142857142857143</v>
      </c>
      <c r="R6" s="43">
        <v>8</v>
      </c>
      <c r="S6" s="44">
        <v>11</v>
      </c>
      <c r="T6" s="43">
        <v>3</v>
      </c>
      <c r="U6" s="44">
        <v>10</v>
      </c>
      <c r="V6" s="43">
        <v>2</v>
      </c>
      <c r="W6" s="44">
        <v>3</v>
      </c>
      <c r="X6" s="45">
        <v>2</v>
      </c>
      <c r="Y6" s="48">
        <f t="shared" si="4"/>
        <v>3</v>
      </c>
      <c r="Z6" s="45">
        <v>1</v>
      </c>
      <c r="AA6" s="43">
        <v>0</v>
      </c>
      <c r="AB6" s="40">
        <v>4320</v>
      </c>
    </row>
    <row r="7" spans="1:28" ht="12.75">
      <c r="A7" s="37">
        <v>18</v>
      </c>
      <c r="B7" s="37">
        <v>1</v>
      </c>
      <c r="C7" s="38" t="s">
        <v>73</v>
      </c>
      <c r="D7" s="49">
        <v>282</v>
      </c>
      <c r="E7" s="50">
        <v>28</v>
      </c>
      <c r="F7" s="50">
        <v>60</v>
      </c>
      <c r="G7" s="47">
        <f t="shared" si="0"/>
        <v>0.4666666666666667</v>
      </c>
      <c r="H7" s="50">
        <v>21</v>
      </c>
      <c r="I7" s="50">
        <v>65</v>
      </c>
      <c r="J7" s="47">
        <f t="shared" si="1"/>
        <v>0.3230769230769231</v>
      </c>
      <c r="K7" s="51">
        <f t="shared" si="2"/>
        <v>0.392</v>
      </c>
      <c r="L7" s="50">
        <v>49</v>
      </c>
      <c r="M7" s="50">
        <v>127</v>
      </c>
      <c r="N7" s="47">
        <f>L7/M7</f>
        <v>0.3858267716535433</v>
      </c>
      <c r="O7" s="50">
        <v>37</v>
      </c>
      <c r="P7" s="50">
        <v>54</v>
      </c>
      <c r="Q7" s="47">
        <f t="shared" si="3"/>
        <v>0.6851851851851852</v>
      </c>
      <c r="R7" s="43">
        <v>52</v>
      </c>
      <c r="S7" s="44">
        <v>42</v>
      </c>
      <c r="T7" s="43">
        <v>61</v>
      </c>
      <c r="U7" s="44">
        <v>57</v>
      </c>
      <c r="V7" s="43">
        <v>26</v>
      </c>
      <c r="W7" s="44">
        <v>16</v>
      </c>
      <c r="X7" s="52">
        <v>37</v>
      </c>
      <c r="Y7" s="48">
        <f t="shared" si="4"/>
        <v>51</v>
      </c>
      <c r="Z7" s="52">
        <v>14</v>
      </c>
      <c r="AA7" s="43">
        <v>5</v>
      </c>
      <c r="AB7" s="50">
        <v>39170</v>
      </c>
    </row>
    <row r="8" spans="1:28" ht="12.75">
      <c r="A8" s="37">
        <v>6</v>
      </c>
      <c r="B8" s="37">
        <v>1</v>
      </c>
      <c r="C8" s="38" t="s">
        <v>71</v>
      </c>
      <c r="D8" s="39">
        <v>5</v>
      </c>
      <c r="E8" s="40">
        <v>1</v>
      </c>
      <c r="F8" s="40">
        <v>3</v>
      </c>
      <c r="G8" s="41">
        <f t="shared" si="0"/>
        <v>0.3333333333333333</v>
      </c>
      <c r="H8" s="40">
        <v>1</v>
      </c>
      <c r="I8" s="40">
        <v>4</v>
      </c>
      <c r="J8" s="41">
        <f t="shared" si="1"/>
        <v>0.25</v>
      </c>
      <c r="K8" s="42">
        <f t="shared" si="2"/>
        <v>0.2857142857142857</v>
      </c>
      <c r="L8" s="40">
        <v>0</v>
      </c>
      <c r="M8" s="40">
        <v>0</v>
      </c>
      <c r="N8" s="41"/>
      <c r="O8" s="40">
        <v>1</v>
      </c>
      <c r="P8" s="40">
        <v>6</v>
      </c>
      <c r="Q8" s="41">
        <f t="shared" si="3"/>
        <v>0.16666666666666666</v>
      </c>
      <c r="R8" s="43">
        <v>3</v>
      </c>
      <c r="S8" s="44">
        <v>5</v>
      </c>
      <c r="T8" s="43">
        <v>0</v>
      </c>
      <c r="U8" s="44">
        <v>1</v>
      </c>
      <c r="V8" s="43">
        <v>2</v>
      </c>
      <c r="W8" s="44">
        <v>3</v>
      </c>
      <c r="X8" s="45">
        <v>0</v>
      </c>
      <c r="Y8" s="46">
        <f t="shared" si="4"/>
        <v>1</v>
      </c>
      <c r="Z8" s="45">
        <v>1</v>
      </c>
      <c r="AA8" s="43">
        <v>0</v>
      </c>
      <c r="AB8" s="40">
        <v>1510</v>
      </c>
    </row>
    <row r="9" spans="1:28" ht="12.75">
      <c r="A9" s="37">
        <v>44</v>
      </c>
      <c r="B9" s="37">
        <v>2</v>
      </c>
      <c r="C9" s="38" t="s">
        <v>74</v>
      </c>
      <c r="D9" s="39">
        <f>134+143</f>
        <v>277</v>
      </c>
      <c r="E9" s="40">
        <f>12+38</f>
        <v>50</v>
      </c>
      <c r="F9" s="40">
        <f>33+84</f>
        <v>117</v>
      </c>
      <c r="G9" s="41">
        <f t="shared" si="0"/>
        <v>0.42735042735042733</v>
      </c>
      <c r="H9" s="40">
        <f>19+7</f>
        <v>26</v>
      </c>
      <c r="I9" s="40">
        <f>66+19</f>
        <v>85</v>
      </c>
      <c r="J9" s="41">
        <f t="shared" si="1"/>
        <v>0.3058823529411765</v>
      </c>
      <c r="K9" s="42">
        <f t="shared" si="2"/>
        <v>0.37623762376237624</v>
      </c>
      <c r="L9" s="40">
        <v>18</v>
      </c>
      <c r="M9" s="40">
        <v>46</v>
      </c>
      <c r="N9" s="41">
        <f>L9/M9</f>
        <v>0.391304347826087</v>
      </c>
      <c r="O9" s="40">
        <f>30+41</f>
        <v>71</v>
      </c>
      <c r="P9" s="40">
        <f>65+73</f>
        <v>138</v>
      </c>
      <c r="Q9" s="41">
        <f t="shared" si="3"/>
        <v>0.5144927536231884</v>
      </c>
      <c r="R9" s="43">
        <f>68+60</f>
        <v>128</v>
      </c>
      <c r="S9" s="44">
        <f>53+58</f>
        <v>111</v>
      </c>
      <c r="T9" s="43">
        <f>62+57</f>
        <v>119</v>
      </c>
      <c r="U9" s="44">
        <f>76+30</f>
        <v>106</v>
      </c>
      <c r="V9" s="43">
        <f>24+29</f>
        <v>53</v>
      </c>
      <c r="W9" s="44">
        <f>24+23</f>
        <v>47</v>
      </c>
      <c r="X9" s="45">
        <f>74+54</f>
        <v>128</v>
      </c>
      <c r="Y9" s="46">
        <f t="shared" si="4"/>
        <v>165</v>
      </c>
      <c r="Z9" s="45">
        <v>37</v>
      </c>
      <c r="AA9" s="43">
        <v>9</v>
      </c>
      <c r="AB9" s="40">
        <f>41290+31320</f>
        <v>72610</v>
      </c>
    </row>
    <row r="10" spans="1:28" ht="12.75">
      <c r="A10" s="37">
        <v>86</v>
      </c>
      <c r="B10" s="37">
        <v>4</v>
      </c>
      <c r="C10" s="38" t="s">
        <v>49</v>
      </c>
      <c r="D10" s="39">
        <v>1714</v>
      </c>
      <c r="E10" s="40">
        <f>50+59+79+64</f>
        <v>252</v>
      </c>
      <c r="F10" s="40">
        <f>100+104+130+111</f>
        <v>445</v>
      </c>
      <c r="G10" s="41">
        <f t="shared" si="0"/>
        <v>0.5662921348314607</v>
      </c>
      <c r="H10" s="40">
        <f>34+35+36+52</f>
        <v>157</v>
      </c>
      <c r="I10" s="40">
        <f>97+84+99+136</f>
        <v>416</v>
      </c>
      <c r="J10" s="41">
        <f t="shared" si="1"/>
        <v>0.37740384615384615</v>
      </c>
      <c r="K10" s="42">
        <f t="shared" si="2"/>
        <v>0.47502903600464574</v>
      </c>
      <c r="L10" s="40">
        <v>132</v>
      </c>
      <c r="M10" s="40">
        <v>361</v>
      </c>
      <c r="N10" s="41">
        <f>L10/M10</f>
        <v>0.3656509695290859</v>
      </c>
      <c r="O10" s="40">
        <v>500</v>
      </c>
      <c r="P10" s="40">
        <v>660</v>
      </c>
      <c r="Q10" s="41">
        <f t="shared" si="3"/>
        <v>0.7575757575757576</v>
      </c>
      <c r="R10" s="43">
        <f>164+138+113+124</f>
        <v>539</v>
      </c>
      <c r="S10" s="44">
        <v>302</v>
      </c>
      <c r="T10" s="43">
        <v>243</v>
      </c>
      <c r="U10" s="44">
        <v>87</v>
      </c>
      <c r="V10" s="43">
        <v>170</v>
      </c>
      <c r="W10" s="44">
        <v>147</v>
      </c>
      <c r="X10" s="45">
        <f>95+78+73+121</f>
        <v>367</v>
      </c>
      <c r="Y10" s="46">
        <f t="shared" si="4"/>
        <v>463</v>
      </c>
      <c r="Z10" s="45">
        <f>26+29+22+19</f>
        <v>96</v>
      </c>
      <c r="AA10" s="43">
        <f>6+0</f>
        <v>6</v>
      </c>
      <c r="AB10" s="40">
        <f>((688+684+632+687)*60)+25+55+10+40</f>
        <v>161590</v>
      </c>
    </row>
    <row r="11" spans="1:28" ht="12.75">
      <c r="A11" s="37">
        <v>15</v>
      </c>
      <c r="B11" s="37">
        <v>3</v>
      </c>
      <c r="C11" s="38" t="s">
        <v>65</v>
      </c>
      <c r="D11" s="39">
        <v>35</v>
      </c>
      <c r="E11" s="40">
        <v>13</v>
      </c>
      <c r="F11" s="40">
        <v>25</v>
      </c>
      <c r="G11" s="41">
        <f t="shared" si="0"/>
        <v>0.52</v>
      </c>
      <c r="H11" s="40">
        <v>0</v>
      </c>
      <c r="I11" s="40">
        <v>0</v>
      </c>
      <c r="J11" s="41"/>
      <c r="K11" s="42">
        <f t="shared" si="2"/>
        <v>0.52</v>
      </c>
      <c r="L11" s="40">
        <v>0</v>
      </c>
      <c r="M11" s="40">
        <v>0</v>
      </c>
      <c r="N11" s="41"/>
      <c r="O11" s="40">
        <v>9</v>
      </c>
      <c r="P11" s="40">
        <v>17</v>
      </c>
      <c r="Q11" s="41">
        <f t="shared" si="3"/>
        <v>0.5294117647058824</v>
      </c>
      <c r="R11" s="43">
        <v>12</v>
      </c>
      <c r="S11" s="44">
        <v>21</v>
      </c>
      <c r="T11" s="43">
        <v>0</v>
      </c>
      <c r="U11" s="44">
        <v>3</v>
      </c>
      <c r="V11" s="43">
        <v>1</v>
      </c>
      <c r="W11" s="44">
        <v>11</v>
      </c>
      <c r="X11" s="45">
        <v>15</v>
      </c>
      <c r="Y11" s="46">
        <f t="shared" si="4"/>
        <v>25</v>
      </c>
      <c r="Z11" s="45">
        <v>10</v>
      </c>
      <c r="AA11" s="43">
        <v>0</v>
      </c>
      <c r="AB11" s="40">
        <f>1005+3575+600</f>
        <v>5180</v>
      </c>
    </row>
    <row r="12" spans="1:28" ht="12.75">
      <c r="A12" s="37">
        <v>58</v>
      </c>
      <c r="B12" s="37">
        <v>3</v>
      </c>
      <c r="C12" s="38" t="s">
        <v>80</v>
      </c>
      <c r="D12" s="39">
        <v>332</v>
      </c>
      <c r="E12" s="40">
        <v>106</v>
      </c>
      <c r="F12" s="40">
        <v>198</v>
      </c>
      <c r="G12" s="41">
        <f t="shared" si="0"/>
        <v>0.5353535353535354</v>
      </c>
      <c r="H12" s="40">
        <v>10</v>
      </c>
      <c r="I12" s="40">
        <v>39</v>
      </c>
      <c r="J12" s="41">
        <f t="shared" si="1"/>
        <v>0.2564102564102564</v>
      </c>
      <c r="K12" s="42">
        <f t="shared" si="2"/>
        <v>0.48945147679324896</v>
      </c>
      <c r="L12" s="40">
        <v>6</v>
      </c>
      <c r="M12" s="40">
        <v>51</v>
      </c>
      <c r="N12" s="41">
        <f>L12/M12</f>
        <v>0.11764705882352941</v>
      </c>
      <c r="O12" s="40">
        <v>82</v>
      </c>
      <c r="P12" s="40">
        <v>199</v>
      </c>
      <c r="Q12" s="41">
        <f t="shared" si="3"/>
        <v>0.4120603015075377</v>
      </c>
      <c r="R12" s="43">
        <v>219</v>
      </c>
      <c r="S12" s="44">
        <v>147</v>
      </c>
      <c r="T12" s="43">
        <v>414</v>
      </c>
      <c r="U12" s="44">
        <v>185</v>
      </c>
      <c r="V12" s="43">
        <v>157</v>
      </c>
      <c r="W12" s="44">
        <v>107</v>
      </c>
      <c r="X12" s="45">
        <v>176</v>
      </c>
      <c r="Y12" s="46">
        <f t="shared" si="4"/>
        <v>241</v>
      </c>
      <c r="Z12" s="45">
        <v>65</v>
      </c>
      <c r="AA12" s="43">
        <v>0</v>
      </c>
      <c r="AB12" s="40">
        <v>103615</v>
      </c>
    </row>
    <row r="13" spans="1:28" ht="12.75">
      <c r="A13" s="37">
        <v>43</v>
      </c>
      <c r="B13" s="37">
        <v>2</v>
      </c>
      <c r="C13" s="38" t="s">
        <v>81</v>
      </c>
      <c r="D13" s="39">
        <v>610</v>
      </c>
      <c r="E13" s="40">
        <v>93</v>
      </c>
      <c r="F13" s="40">
        <v>155</v>
      </c>
      <c r="G13" s="41">
        <f t="shared" si="0"/>
        <v>0.6</v>
      </c>
      <c r="H13" s="40">
        <v>16</v>
      </c>
      <c r="I13" s="40">
        <v>55</v>
      </c>
      <c r="J13" s="41">
        <f t="shared" si="1"/>
        <v>0.2909090909090909</v>
      </c>
      <c r="K13" s="42">
        <f t="shared" si="2"/>
        <v>0.5190476190476191</v>
      </c>
      <c r="L13" s="40">
        <v>101</v>
      </c>
      <c r="M13" s="40">
        <v>358</v>
      </c>
      <c r="N13" s="41">
        <f>L13/M13</f>
        <v>0.28212290502793297</v>
      </c>
      <c r="O13" s="40">
        <v>89</v>
      </c>
      <c r="P13" s="40">
        <v>122</v>
      </c>
      <c r="Q13" s="41">
        <f t="shared" si="3"/>
        <v>0.7295081967213115</v>
      </c>
      <c r="R13" s="43">
        <v>107</v>
      </c>
      <c r="S13" s="44">
        <v>96</v>
      </c>
      <c r="T13" s="43">
        <v>134</v>
      </c>
      <c r="U13" s="44">
        <v>67</v>
      </c>
      <c r="V13" s="43">
        <v>75</v>
      </c>
      <c r="W13" s="44">
        <v>38</v>
      </c>
      <c r="X13" s="45">
        <v>80</v>
      </c>
      <c r="Y13" s="46">
        <f t="shared" si="4"/>
        <v>110</v>
      </c>
      <c r="Z13" s="45">
        <v>30</v>
      </c>
      <c r="AA13" s="43">
        <v>9</v>
      </c>
      <c r="AB13" s="40">
        <v>71470</v>
      </c>
    </row>
    <row r="14" spans="1:28" ht="12.75">
      <c r="A14" s="37">
        <v>144</v>
      </c>
      <c r="B14" s="37">
        <v>7</v>
      </c>
      <c r="C14" s="38" t="s">
        <v>58</v>
      </c>
      <c r="D14" s="39">
        <v>1274</v>
      </c>
      <c r="E14" s="40">
        <f>31+80+55+65+63+26+91</f>
        <v>411</v>
      </c>
      <c r="F14" s="40">
        <f>66+143+96+113+120+59+162</f>
        <v>759</v>
      </c>
      <c r="G14" s="41">
        <f t="shared" si="0"/>
        <v>0.541501976284585</v>
      </c>
      <c r="H14" s="40">
        <f>12+22+15+7+13+3+16</f>
        <v>88</v>
      </c>
      <c r="I14" s="40">
        <f>42+72+52+24+45+20+49</f>
        <v>304</v>
      </c>
      <c r="J14" s="41">
        <f t="shared" si="1"/>
        <v>0.2894736842105263</v>
      </c>
      <c r="K14" s="42">
        <f t="shared" si="2"/>
        <v>0.46942615239887114</v>
      </c>
      <c r="L14" s="40">
        <v>33</v>
      </c>
      <c r="M14" s="40">
        <v>152</v>
      </c>
      <c r="N14" s="41">
        <f>L14/M14</f>
        <v>0.21710526315789475</v>
      </c>
      <c r="O14" s="40">
        <f>135+25</f>
        <v>160</v>
      </c>
      <c r="P14" s="40">
        <f>268+51</f>
        <v>319</v>
      </c>
      <c r="Q14" s="41">
        <f t="shared" si="3"/>
        <v>0.5015673981191222</v>
      </c>
      <c r="R14" s="43">
        <f>28+45+15+17+22+19+20</f>
        <v>166</v>
      </c>
      <c r="S14" s="44">
        <f>497+85</f>
        <v>582</v>
      </c>
      <c r="T14" s="43">
        <f>245+45</f>
        <v>290</v>
      </c>
      <c r="U14" s="44">
        <v>179</v>
      </c>
      <c r="V14" s="43">
        <f>232+36</f>
        <v>268</v>
      </c>
      <c r="W14" s="44">
        <f>127+36</f>
        <v>163</v>
      </c>
      <c r="X14" s="45">
        <f>56+21+33+27+16+20+15+45</f>
        <v>233</v>
      </c>
      <c r="Y14" s="46">
        <f t="shared" si="4"/>
        <v>535</v>
      </c>
      <c r="Z14" s="45">
        <f>73+32+28+17+40+28+23+61</f>
        <v>302</v>
      </c>
      <c r="AA14" s="43">
        <v>9</v>
      </c>
      <c r="AB14" s="40">
        <f>((581+438+691+499+424+623+427)*60)+195</f>
        <v>221175</v>
      </c>
    </row>
    <row r="15" spans="1:28" ht="12.75">
      <c r="A15" s="37">
        <v>150</v>
      </c>
      <c r="B15" s="37">
        <v>7</v>
      </c>
      <c r="C15" s="38" t="s">
        <v>52</v>
      </c>
      <c r="D15" s="39">
        <f>828+248+152+181</f>
        <v>1409</v>
      </c>
      <c r="E15" s="40">
        <f>304+79+56+57</f>
        <v>496</v>
      </c>
      <c r="F15" s="40">
        <f>572+161+95+115</f>
        <v>943</v>
      </c>
      <c r="G15" s="41">
        <f t="shared" si="0"/>
        <v>0.5259809119830329</v>
      </c>
      <c r="H15" s="40">
        <v>37</v>
      </c>
      <c r="I15" s="40">
        <v>151</v>
      </c>
      <c r="J15" s="41">
        <f t="shared" si="1"/>
        <v>0.24503311258278146</v>
      </c>
      <c r="K15" s="42">
        <f t="shared" si="2"/>
        <v>0.48720292504570384</v>
      </c>
      <c r="L15" s="40">
        <v>4</v>
      </c>
      <c r="M15" s="40">
        <v>16</v>
      </c>
      <c r="N15" s="41">
        <f>L15/M15</f>
        <v>0.25</v>
      </c>
      <c r="O15" s="40">
        <f>286+45</f>
        <v>331</v>
      </c>
      <c r="P15" s="40">
        <f>489+55+92</f>
        <v>636</v>
      </c>
      <c r="Q15" s="41">
        <f t="shared" si="3"/>
        <v>0.5204402515723271</v>
      </c>
      <c r="R15" s="43">
        <f>362+46+76</f>
        <v>484</v>
      </c>
      <c r="S15" s="44">
        <f>283+77+79+75</f>
        <v>514</v>
      </c>
      <c r="T15" s="43">
        <v>172</v>
      </c>
      <c r="U15" s="44">
        <v>98</v>
      </c>
      <c r="V15" s="43">
        <f>88+21</f>
        <v>109</v>
      </c>
      <c r="W15" s="44">
        <f>134+29</f>
        <v>163</v>
      </c>
      <c r="X15" s="45">
        <v>330</v>
      </c>
      <c r="Y15" s="46">
        <f t="shared" si="4"/>
        <v>570</v>
      </c>
      <c r="Z15" s="45">
        <v>240</v>
      </c>
      <c r="AA15" s="43">
        <v>25</v>
      </c>
      <c r="AB15" s="40">
        <f>39735+34600+26240+29355+20555+25520</f>
        <v>176005</v>
      </c>
    </row>
    <row r="16" spans="1:28" ht="12.75">
      <c r="A16" s="37">
        <v>21</v>
      </c>
      <c r="B16" s="37">
        <v>1</v>
      </c>
      <c r="C16" s="38" t="s">
        <v>70</v>
      </c>
      <c r="D16" s="39">
        <v>43</v>
      </c>
      <c r="E16" s="40">
        <v>17</v>
      </c>
      <c r="F16" s="40">
        <v>47</v>
      </c>
      <c r="G16" s="41">
        <f t="shared" si="0"/>
        <v>0.3617021276595745</v>
      </c>
      <c r="H16" s="40">
        <v>0</v>
      </c>
      <c r="I16" s="40">
        <v>1</v>
      </c>
      <c r="J16" s="41">
        <f t="shared" si="1"/>
        <v>0</v>
      </c>
      <c r="K16" s="42">
        <f t="shared" si="2"/>
        <v>0.3541666666666667</v>
      </c>
      <c r="L16" s="40">
        <v>0</v>
      </c>
      <c r="M16" s="40">
        <v>0</v>
      </c>
      <c r="N16" s="41"/>
      <c r="O16" s="40">
        <v>9</v>
      </c>
      <c r="P16" s="40">
        <v>30</v>
      </c>
      <c r="Q16" s="41">
        <f t="shared" si="3"/>
        <v>0.3</v>
      </c>
      <c r="R16" s="43">
        <v>21</v>
      </c>
      <c r="S16" s="44">
        <v>54</v>
      </c>
      <c r="T16" s="43">
        <v>14</v>
      </c>
      <c r="U16" s="44">
        <v>9</v>
      </c>
      <c r="V16" s="43">
        <v>12</v>
      </c>
      <c r="W16" s="44">
        <v>14</v>
      </c>
      <c r="X16" s="45">
        <v>80</v>
      </c>
      <c r="Y16" s="46">
        <f t="shared" si="4"/>
        <v>115</v>
      </c>
      <c r="Z16" s="45">
        <v>35</v>
      </c>
      <c r="AA16" s="43"/>
      <c r="AB16" s="40">
        <v>21010</v>
      </c>
    </row>
    <row r="17" spans="1:28" ht="12.75">
      <c r="A17" s="37">
        <v>83</v>
      </c>
      <c r="B17" s="37">
        <v>4</v>
      </c>
      <c r="C17" s="38" t="s">
        <v>53</v>
      </c>
      <c r="D17" s="39">
        <v>1344</v>
      </c>
      <c r="E17" s="40">
        <f>76+72+62+44</f>
        <v>254</v>
      </c>
      <c r="F17" s="40">
        <f>132+111+110+71</f>
        <v>424</v>
      </c>
      <c r="G17" s="41">
        <f t="shared" si="0"/>
        <v>0.5990566037735849</v>
      </c>
      <c r="H17" s="40">
        <f>56+49+52+41</f>
        <v>198</v>
      </c>
      <c r="I17" s="40">
        <f>95+86+101+88</f>
        <v>370</v>
      </c>
      <c r="J17" s="41">
        <f t="shared" si="1"/>
        <v>0.5351351351351351</v>
      </c>
      <c r="K17" s="42">
        <f t="shared" si="2"/>
        <v>0.5692695214105793</v>
      </c>
      <c r="L17" s="40">
        <v>44</v>
      </c>
      <c r="M17" s="40">
        <v>116</v>
      </c>
      <c r="N17" s="41">
        <f>L17/M17</f>
        <v>0.3793103448275862</v>
      </c>
      <c r="O17" s="40">
        <v>308</v>
      </c>
      <c r="P17" s="40">
        <v>357</v>
      </c>
      <c r="Q17" s="41">
        <f t="shared" si="3"/>
        <v>0.8627450980392157</v>
      </c>
      <c r="R17" s="43">
        <f>85+59+68+54</f>
        <v>266</v>
      </c>
      <c r="S17" s="44">
        <v>268</v>
      </c>
      <c r="T17" s="43">
        <v>110</v>
      </c>
      <c r="U17" s="44">
        <v>71</v>
      </c>
      <c r="V17" s="43">
        <v>98</v>
      </c>
      <c r="W17" s="44">
        <v>83</v>
      </c>
      <c r="X17" s="45">
        <f>124+119+112+73</f>
        <v>428</v>
      </c>
      <c r="Y17" s="46">
        <f t="shared" si="4"/>
        <v>533</v>
      </c>
      <c r="Z17" s="45">
        <f>26+24+25+30</f>
        <v>105</v>
      </c>
      <c r="AA17" s="43">
        <v>34</v>
      </c>
      <c r="AB17" s="40">
        <f>((678+615+615+516)*60)+85+50</f>
        <v>145575</v>
      </c>
    </row>
    <row r="18" spans="1:28" ht="12.75">
      <c r="A18" s="37">
        <v>65</v>
      </c>
      <c r="B18" s="37">
        <v>3</v>
      </c>
      <c r="C18" s="38" t="s">
        <v>79</v>
      </c>
      <c r="D18" s="39">
        <v>1092</v>
      </c>
      <c r="E18" s="40">
        <v>202</v>
      </c>
      <c r="F18" s="40">
        <v>407</v>
      </c>
      <c r="G18" s="41">
        <f t="shared" si="0"/>
        <v>0.4963144963144963</v>
      </c>
      <c r="H18" s="40">
        <v>90</v>
      </c>
      <c r="I18" s="40">
        <v>251</v>
      </c>
      <c r="J18" s="41">
        <f t="shared" si="1"/>
        <v>0.35856573705179284</v>
      </c>
      <c r="K18" s="42">
        <f t="shared" si="2"/>
        <v>0.44376899696048633</v>
      </c>
      <c r="L18" s="40">
        <v>66</v>
      </c>
      <c r="M18" s="40">
        <v>212</v>
      </c>
      <c r="N18" s="41">
        <f>L18/M18</f>
        <v>0.3113207547169811</v>
      </c>
      <c r="O18" s="40">
        <v>310</v>
      </c>
      <c r="P18" s="40">
        <v>411</v>
      </c>
      <c r="Q18" s="41">
        <f t="shared" si="3"/>
        <v>0.754257907542579</v>
      </c>
      <c r="R18" s="43">
        <v>315</v>
      </c>
      <c r="S18" s="44">
        <v>237</v>
      </c>
      <c r="T18" s="43">
        <v>132</v>
      </c>
      <c r="U18" s="44">
        <v>94</v>
      </c>
      <c r="V18" s="43">
        <v>112</v>
      </c>
      <c r="W18" s="44">
        <v>117</v>
      </c>
      <c r="X18" s="45">
        <v>202</v>
      </c>
      <c r="Y18" s="46">
        <f t="shared" si="4"/>
        <v>296</v>
      </c>
      <c r="Z18" s="45">
        <v>94</v>
      </c>
      <c r="AA18" s="43">
        <v>3</v>
      </c>
      <c r="AB18" s="40">
        <v>107880</v>
      </c>
    </row>
    <row r="19" spans="1:28" ht="12.75">
      <c r="A19" s="37">
        <v>42</v>
      </c>
      <c r="B19" s="37">
        <v>3</v>
      </c>
      <c r="C19" s="53" t="s">
        <v>60</v>
      </c>
      <c r="D19" s="39">
        <f>193+124+6</f>
        <v>323</v>
      </c>
      <c r="E19" s="40">
        <f>57+21+1</f>
        <v>79</v>
      </c>
      <c r="F19" s="40">
        <f>108+58+1</f>
        <v>167</v>
      </c>
      <c r="G19" s="41">
        <f t="shared" si="0"/>
        <v>0.47305389221556887</v>
      </c>
      <c r="H19" s="40">
        <f>11+8</f>
        <v>19</v>
      </c>
      <c r="I19" s="40">
        <f>2+27+39</f>
        <v>68</v>
      </c>
      <c r="J19" s="41">
        <f t="shared" si="1"/>
        <v>0.27941176470588236</v>
      </c>
      <c r="K19" s="42">
        <f t="shared" si="2"/>
        <v>0.41702127659574467</v>
      </c>
      <c r="L19" s="40">
        <v>25</v>
      </c>
      <c r="M19" s="40">
        <f>34+54+1</f>
        <v>89</v>
      </c>
      <c r="N19" s="41">
        <f>L19/M19</f>
        <v>0.2808988764044944</v>
      </c>
      <c r="O19" s="40">
        <v>52</v>
      </c>
      <c r="P19" s="40">
        <v>77</v>
      </c>
      <c r="Q19" s="41">
        <f t="shared" si="3"/>
        <v>0.6753246753246753</v>
      </c>
      <c r="R19" s="43">
        <v>43</v>
      </c>
      <c r="S19" s="44">
        <f>3+63+29</f>
        <v>95</v>
      </c>
      <c r="T19" s="43">
        <f>14+10</f>
        <v>24</v>
      </c>
      <c r="U19" s="44">
        <f>19+9</f>
        <v>28</v>
      </c>
      <c r="V19" s="43">
        <f>15+5</f>
        <v>20</v>
      </c>
      <c r="W19" s="44">
        <v>25</v>
      </c>
      <c r="X19" s="45">
        <v>57</v>
      </c>
      <c r="Y19" s="46">
        <f t="shared" si="4"/>
        <v>91</v>
      </c>
      <c r="Z19" s="45">
        <v>34</v>
      </c>
      <c r="AA19" s="43">
        <v>18</v>
      </c>
      <c r="AB19" s="40">
        <f>810+28960+16870</f>
        <v>46640</v>
      </c>
    </row>
    <row r="20" spans="1:28" ht="12.75">
      <c r="A20" s="37">
        <v>27</v>
      </c>
      <c r="B20" s="37">
        <v>2</v>
      </c>
      <c r="C20" s="38" t="s">
        <v>62</v>
      </c>
      <c r="D20" s="39">
        <v>95</v>
      </c>
      <c r="E20" s="40">
        <v>34</v>
      </c>
      <c r="F20" s="40">
        <v>93</v>
      </c>
      <c r="G20" s="41">
        <f t="shared" si="0"/>
        <v>0.3655913978494624</v>
      </c>
      <c r="H20" s="40">
        <v>4</v>
      </c>
      <c r="I20" s="40">
        <v>12</v>
      </c>
      <c r="J20" s="41">
        <f t="shared" si="1"/>
        <v>0.3333333333333333</v>
      </c>
      <c r="K20" s="42">
        <f t="shared" si="2"/>
        <v>0.3619047619047619</v>
      </c>
      <c r="L20" s="40">
        <v>0</v>
      </c>
      <c r="M20" s="40">
        <v>0</v>
      </c>
      <c r="N20" s="41"/>
      <c r="O20" s="40">
        <v>19</v>
      </c>
      <c r="P20" s="40">
        <v>36</v>
      </c>
      <c r="Q20" s="41">
        <f t="shared" si="3"/>
        <v>0.5277777777777778</v>
      </c>
      <c r="R20" s="43">
        <v>15</v>
      </c>
      <c r="S20" s="44">
        <v>51</v>
      </c>
      <c r="T20" s="43">
        <v>18</v>
      </c>
      <c r="U20" s="44">
        <v>3</v>
      </c>
      <c r="V20" s="43">
        <v>15</v>
      </c>
      <c r="W20" s="44">
        <v>10</v>
      </c>
      <c r="X20" s="45">
        <v>69</v>
      </c>
      <c r="Y20" s="46">
        <f t="shared" si="4"/>
        <v>108</v>
      </c>
      <c r="Z20" s="45">
        <v>39</v>
      </c>
      <c r="AA20" s="43">
        <v>7</v>
      </c>
      <c r="AB20" s="40">
        <f>4380+19670</f>
        <v>24050</v>
      </c>
    </row>
    <row r="21" spans="1:28" ht="12.75">
      <c r="A21" s="37">
        <v>50</v>
      </c>
      <c r="B21" s="37">
        <v>3</v>
      </c>
      <c r="C21" s="38" t="s">
        <v>61</v>
      </c>
      <c r="D21" s="39">
        <f>76+7+77</f>
        <v>160</v>
      </c>
      <c r="E21" s="40">
        <f>23+16</f>
        <v>39</v>
      </c>
      <c r="F21" s="40">
        <f>45+35</f>
        <v>80</v>
      </c>
      <c r="G21" s="41">
        <f t="shared" si="0"/>
        <v>0.4875</v>
      </c>
      <c r="H21" s="40">
        <v>5</v>
      </c>
      <c r="I21" s="40">
        <v>14</v>
      </c>
      <c r="J21" s="41">
        <f aca="true" t="shared" si="5" ref="J14:J39">H21/I21</f>
        <v>0.35714285714285715</v>
      </c>
      <c r="K21" s="42">
        <f t="shared" si="2"/>
        <v>0.46808510638297873</v>
      </c>
      <c r="L21" s="40">
        <v>14</v>
      </c>
      <c r="M21" s="40">
        <v>60</v>
      </c>
      <c r="N21" s="41">
        <f>L21/M21</f>
        <v>0.23333333333333334</v>
      </c>
      <c r="O21" s="40">
        <v>30</v>
      </c>
      <c r="P21" s="40">
        <v>59</v>
      </c>
      <c r="Q21" s="41">
        <f t="shared" si="3"/>
        <v>0.5084745762711864</v>
      </c>
      <c r="R21" s="43">
        <v>36</v>
      </c>
      <c r="S21" s="44">
        <f>73+45</f>
        <v>118</v>
      </c>
      <c r="T21" s="43">
        <f>44+29</f>
        <v>73</v>
      </c>
      <c r="U21" s="44">
        <v>50</v>
      </c>
      <c r="V21" s="43">
        <v>47</v>
      </c>
      <c r="W21" s="44">
        <v>50</v>
      </c>
      <c r="X21" s="45">
        <v>58</v>
      </c>
      <c r="Y21" s="46">
        <f t="shared" si="4"/>
        <v>67</v>
      </c>
      <c r="Z21" s="45">
        <v>9</v>
      </c>
      <c r="AA21" s="43">
        <v>5</v>
      </c>
      <c r="AB21" s="40">
        <f>4110+28305+20175</f>
        <v>52590</v>
      </c>
    </row>
    <row r="22" spans="1:28" ht="12.75">
      <c r="A22" s="37">
        <v>126</v>
      </c>
      <c r="B22" s="37">
        <v>6</v>
      </c>
      <c r="C22" s="38" t="s">
        <v>56</v>
      </c>
      <c r="D22" s="49">
        <v>552</v>
      </c>
      <c r="E22" s="50">
        <f>17+13+34+27+53+53</f>
        <v>197</v>
      </c>
      <c r="F22" s="50">
        <f>38+40+53+52+104+99</f>
        <v>386</v>
      </c>
      <c r="G22" s="47">
        <f t="shared" si="0"/>
        <v>0.5103626943005182</v>
      </c>
      <c r="H22" s="50">
        <v>3</v>
      </c>
      <c r="I22" s="50">
        <v>14</v>
      </c>
      <c r="J22" s="47">
        <f t="shared" si="5"/>
        <v>0.21428571428571427</v>
      </c>
      <c r="K22" s="51">
        <f t="shared" si="2"/>
        <v>0.5</v>
      </c>
      <c r="L22" s="50">
        <v>0</v>
      </c>
      <c r="M22" s="50">
        <v>0</v>
      </c>
      <c r="N22" s="47"/>
      <c r="O22" s="50">
        <v>152</v>
      </c>
      <c r="P22" s="50">
        <v>285</v>
      </c>
      <c r="Q22" s="47">
        <f t="shared" si="3"/>
        <v>0.5333333333333333</v>
      </c>
      <c r="R22" s="43">
        <f>22+26+26+25+64+52</f>
        <v>215</v>
      </c>
      <c r="S22" s="44">
        <v>420</v>
      </c>
      <c r="T22" s="43">
        <v>16</v>
      </c>
      <c r="U22" s="44">
        <v>37</v>
      </c>
      <c r="V22" s="43">
        <v>85</v>
      </c>
      <c r="W22" s="44">
        <v>73</v>
      </c>
      <c r="X22" s="52">
        <f>41+29+35+32+85+57</f>
        <v>279</v>
      </c>
      <c r="Y22" s="48">
        <f t="shared" si="4"/>
        <v>479</v>
      </c>
      <c r="Z22" s="52">
        <f>32+27+24+30+45+42</f>
        <v>200</v>
      </c>
      <c r="AA22" s="43">
        <v>117</v>
      </c>
      <c r="AB22" s="50">
        <f>((322+416+218+238+239+231)*60)+90+85+45</f>
        <v>100060</v>
      </c>
    </row>
    <row r="23" spans="1:28" ht="12.75">
      <c r="A23" s="37">
        <f>22+21</f>
        <v>43</v>
      </c>
      <c r="B23" s="37">
        <v>2</v>
      </c>
      <c r="C23" s="38" t="s">
        <v>55</v>
      </c>
      <c r="D23" s="49">
        <f>436+333</f>
        <v>769</v>
      </c>
      <c r="E23" s="50">
        <f>91+63</f>
        <v>154</v>
      </c>
      <c r="F23" s="50">
        <f>169+109</f>
        <v>278</v>
      </c>
      <c r="G23" s="47">
        <f t="shared" si="0"/>
        <v>0.5539568345323741</v>
      </c>
      <c r="H23" s="50">
        <v>16</v>
      </c>
      <c r="I23" s="50">
        <f>32+24</f>
        <v>56</v>
      </c>
      <c r="J23" s="47">
        <f t="shared" si="5"/>
        <v>0.2857142857142857</v>
      </c>
      <c r="K23" s="51">
        <f t="shared" si="2"/>
        <v>0.5089820359281437</v>
      </c>
      <c r="L23" s="50">
        <f>46+45</f>
        <v>91</v>
      </c>
      <c r="M23" s="50">
        <f>152+175</f>
        <v>327</v>
      </c>
      <c r="N23" s="47">
        <f aca="true" t="shared" si="6" ref="N23:N39">L23/M23</f>
        <v>0.2782874617737003</v>
      </c>
      <c r="O23" s="50">
        <f>96+60</f>
        <v>156</v>
      </c>
      <c r="P23" s="50">
        <v>206</v>
      </c>
      <c r="Q23" s="47">
        <f t="shared" si="3"/>
        <v>0.7572815533980582</v>
      </c>
      <c r="R23" s="43">
        <f>33+75</f>
        <v>108</v>
      </c>
      <c r="S23" s="44">
        <f>36+53</f>
        <v>89</v>
      </c>
      <c r="T23" s="43">
        <f>111+109</f>
        <v>220</v>
      </c>
      <c r="U23" s="44">
        <f>66+56</f>
        <v>122</v>
      </c>
      <c r="V23" s="43">
        <v>29</v>
      </c>
      <c r="W23" s="54">
        <v>49</v>
      </c>
      <c r="X23" s="52">
        <f>197+165</f>
        <v>362</v>
      </c>
      <c r="Y23" s="48">
        <f t="shared" si="4"/>
        <v>424</v>
      </c>
      <c r="Z23" s="52">
        <f>44+18</f>
        <v>62</v>
      </c>
      <c r="AA23" s="43">
        <f>3+6</f>
        <v>9</v>
      </c>
      <c r="AB23" s="50">
        <f>43870+43205</f>
        <v>87075</v>
      </c>
    </row>
    <row r="24" spans="1:28" ht="12.75">
      <c r="A24" s="37">
        <f>21+20</f>
        <v>41</v>
      </c>
      <c r="B24" s="37">
        <v>2</v>
      </c>
      <c r="C24" s="38" t="s">
        <v>59</v>
      </c>
      <c r="D24" s="39">
        <f>377+323</f>
        <v>700</v>
      </c>
      <c r="E24" s="40">
        <f>138+111</f>
        <v>249</v>
      </c>
      <c r="F24" s="40">
        <f>280+216</f>
        <v>496</v>
      </c>
      <c r="G24" s="41">
        <f t="shared" si="0"/>
        <v>0.5020161290322581</v>
      </c>
      <c r="H24" s="40">
        <f>16+11</f>
        <v>27</v>
      </c>
      <c r="I24" s="40">
        <f>48+37</f>
        <v>85</v>
      </c>
      <c r="J24" s="41">
        <f t="shared" si="5"/>
        <v>0.3176470588235294</v>
      </c>
      <c r="K24" s="42">
        <f t="shared" si="2"/>
        <v>0.4750430292598967</v>
      </c>
      <c r="L24" s="40">
        <v>2</v>
      </c>
      <c r="M24" s="40">
        <v>7</v>
      </c>
      <c r="N24" s="41">
        <f t="shared" si="6"/>
        <v>0.2857142857142857</v>
      </c>
      <c r="O24" s="40">
        <f>66+76</f>
        <v>142</v>
      </c>
      <c r="P24" s="40">
        <f>106+128</f>
        <v>234</v>
      </c>
      <c r="Q24" s="41">
        <f t="shared" si="3"/>
        <v>0.6068376068376068</v>
      </c>
      <c r="R24" s="43">
        <v>142</v>
      </c>
      <c r="S24" s="44">
        <f>72+72</f>
        <v>144</v>
      </c>
      <c r="T24" s="43">
        <v>72</v>
      </c>
      <c r="U24" s="44">
        <v>34</v>
      </c>
      <c r="V24" s="43">
        <v>46</v>
      </c>
      <c r="W24" s="44">
        <v>49</v>
      </c>
      <c r="X24" s="45">
        <f>125+149</f>
        <v>274</v>
      </c>
      <c r="Y24" s="46">
        <f t="shared" si="4"/>
        <v>422</v>
      </c>
      <c r="Z24" s="45">
        <f>75+73</f>
        <v>148</v>
      </c>
      <c r="AA24" s="43">
        <v>10</v>
      </c>
      <c r="AB24" s="40">
        <f>40495+41990</f>
        <v>82485</v>
      </c>
    </row>
    <row r="25" spans="1:28" ht="12.75">
      <c r="A25" s="37">
        <v>144</v>
      </c>
      <c r="B25" s="37">
        <v>7</v>
      </c>
      <c r="C25" s="38" t="s">
        <v>48</v>
      </c>
      <c r="D25" s="39">
        <v>1810</v>
      </c>
      <c r="E25" s="40">
        <v>383</v>
      </c>
      <c r="F25" s="40">
        <v>660</v>
      </c>
      <c r="G25" s="41">
        <f t="shared" si="0"/>
        <v>0.5803030303030303</v>
      </c>
      <c r="H25" s="40">
        <v>12</v>
      </c>
      <c r="I25" s="40">
        <v>58</v>
      </c>
      <c r="J25" s="41">
        <f t="shared" si="5"/>
        <v>0.20689655172413793</v>
      </c>
      <c r="K25" s="42">
        <f t="shared" si="2"/>
        <v>0.5501392757660167</v>
      </c>
      <c r="L25" s="40">
        <v>254</v>
      </c>
      <c r="M25" s="40">
        <v>886</v>
      </c>
      <c r="N25" s="41">
        <f t="shared" si="6"/>
        <v>0.2866817155756208</v>
      </c>
      <c r="O25" s="40">
        <v>258</v>
      </c>
      <c r="P25" s="40">
        <v>434</v>
      </c>
      <c r="Q25" s="41">
        <f t="shared" si="3"/>
        <v>0.5944700460829493</v>
      </c>
      <c r="R25" s="43">
        <v>380</v>
      </c>
      <c r="S25" s="44">
        <v>289</v>
      </c>
      <c r="T25" s="43">
        <v>264</v>
      </c>
      <c r="U25" s="44">
        <v>175</v>
      </c>
      <c r="V25" s="43">
        <v>185</v>
      </c>
      <c r="W25" s="44">
        <v>162</v>
      </c>
      <c r="X25" s="45">
        <v>269</v>
      </c>
      <c r="Y25" s="46">
        <f t="shared" si="4"/>
        <v>341</v>
      </c>
      <c r="Z25" s="45">
        <v>72</v>
      </c>
      <c r="AA25" s="43">
        <v>20</v>
      </c>
      <c r="AB25" s="40">
        <v>217295</v>
      </c>
    </row>
    <row r="26" spans="1:28" ht="12.75">
      <c r="A26" s="37">
        <v>113</v>
      </c>
      <c r="B26" s="37">
        <v>7</v>
      </c>
      <c r="C26" s="38" t="s">
        <v>72</v>
      </c>
      <c r="D26" s="39">
        <v>904</v>
      </c>
      <c r="E26" s="40">
        <v>314</v>
      </c>
      <c r="F26" s="40">
        <v>525</v>
      </c>
      <c r="G26" s="41">
        <f t="shared" si="0"/>
        <v>0.5980952380952381</v>
      </c>
      <c r="H26" s="40">
        <v>41</v>
      </c>
      <c r="I26" s="40">
        <v>151</v>
      </c>
      <c r="J26" s="41">
        <f t="shared" si="5"/>
        <v>0.271523178807947</v>
      </c>
      <c r="K26" s="42">
        <f t="shared" si="2"/>
        <v>0.5251479289940828</v>
      </c>
      <c r="L26" s="40">
        <f>11+4+7+11</f>
        <v>33</v>
      </c>
      <c r="M26" s="40">
        <v>158</v>
      </c>
      <c r="N26" s="41">
        <f t="shared" si="6"/>
        <v>0.2088607594936709</v>
      </c>
      <c r="O26" s="40">
        <f>64+4+4+23</f>
        <v>95</v>
      </c>
      <c r="P26" s="40">
        <v>161</v>
      </c>
      <c r="Q26" s="41">
        <f t="shared" si="3"/>
        <v>0.5900621118012422</v>
      </c>
      <c r="R26" s="43">
        <v>130</v>
      </c>
      <c r="S26" s="44">
        <v>281</v>
      </c>
      <c r="T26" s="43">
        <f>52+12+12+13</f>
        <v>89</v>
      </c>
      <c r="U26" s="44">
        <v>111</v>
      </c>
      <c r="V26" s="43">
        <v>132</v>
      </c>
      <c r="W26" s="44">
        <f>43+7+8+16</f>
        <v>74</v>
      </c>
      <c r="X26" s="45">
        <v>370</v>
      </c>
      <c r="Y26" s="46">
        <f t="shared" si="4"/>
        <v>519</v>
      </c>
      <c r="Z26" s="45">
        <v>149</v>
      </c>
      <c r="AA26" s="43">
        <v>14</v>
      </c>
      <c r="AB26" s="40">
        <f>1355+44350+39515+24250+18385+29220+850</f>
        <v>157925</v>
      </c>
    </row>
    <row r="27" spans="1:28" ht="12.75">
      <c r="A27" s="37">
        <v>42</v>
      </c>
      <c r="B27" s="37">
        <v>2</v>
      </c>
      <c r="C27" s="38" t="s">
        <v>75</v>
      </c>
      <c r="D27" s="39">
        <f>191+122</f>
        <v>313</v>
      </c>
      <c r="E27" s="40">
        <f>73+49</f>
        <v>122</v>
      </c>
      <c r="F27" s="40">
        <f>128+89</f>
        <v>217</v>
      </c>
      <c r="G27" s="41">
        <f t="shared" si="0"/>
        <v>0.5622119815668203</v>
      </c>
      <c r="H27" s="40">
        <v>6</v>
      </c>
      <c r="I27" s="40">
        <v>21</v>
      </c>
      <c r="J27" s="41">
        <f t="shared" si="5"/>
        <v>0.2857142857142857</v>
      </c>
      <c r="K27" s="42">
        <f t="shared" si="2"/>
        <v>0.5378151260504201</v>
      </c>
      <c r="L27" s="40">
        <v>0</v>
      </c>
      <c r="M27" s="40">
        <v>1</v>
      </c>
      <c r="N27" s="41">
        <f t="shared" si="6"/>
        <v>0</v>
      </c>
      <c r="O27" s="40">
        <f>33+24</f>
        <v>57</v>
      </c>
      <c r="P27" s="40">
        <f>49+36</f>
        <v>85</v>
      </c>
      <c r="Q27" s="41">
        <f t="shared" si="3"/>
        <v>0.6705882352941176</v>
      </c>
      <c r="R27" s="43">
        <f>47+32</f>
        <v>79</v>
      </c>
      <c r="S27" s="44">
        <f>76+45</f>
        <v>121</v>
      </c>
      <c r="T27" s="43">
        <f>12+7</f>
        <v>19</v>
      </c>
      <c r="U27" s="44">
        <f>22+9</f>
        <v>31</v>
      </c>
      <c r="V27" s="43">
        <f>31+13</f>
        <v>44</v>
      </c>
      <c r="W27" s="44">
        <f>21+13</f>
        <v>34</v>
      </c>
      <c r="X27" s="45">
        <f>67+50</f>
        <v>117</v>
      </c>
      <c r="Y27" s="46">
        <f t="shared" si="4"/>
        <v>220</v>
      </c>
      <c r="Z27" s="45">
        <f>64+39</f>
        <v>103</v>
      </c>
      <c r="AA27" s="43">
        <v>21</v>
      </c>
      <c r="AB27" s="40">
        <f>29725+20630</f>
        <v>50355</v>
      </c>
    </row>
    <row r="28" spans="1:28" ht="12.75">
      <c r="A28" s="37">
        <v>93</v>
      </c>
      <c r="B28" s="37">
        <v>5</v>
      </c>
      <c r="C28" s="38" t="s">
        <v>51</v>
      </c>
      <c r="D28" s="39">
        <v>866</v>
      </c>
      <c r="E28" s="40">
        <f>46+44+51+14+7</f>
        <v>162</v>
      </c>
      <c r="F28" s="40">
        <f>97+85+91+41+17</f>
        <v>331</v>
      </c>
      <c r="G28" s="41">
        <f t="shared" si="0"/>
        <v>0.48942598187311176</v>
      </c>
      <c r="H28" s="40">
        <f>22+42+25+7+10</f>
        <v>106</v>
      </c>
      <c r="I28" s="40">
        <f>65+103+81+20+25</f>
        <v>294</v>
      </c>
      <c r="J28" s="41">
        <f t="shared" si="5"/>
        <v>0.36054421768707484</v>
      </c>
      <c r="K28" s="42">
        <f t="shared" si="2"/>
        <v>0.4288</v>
      </c>
      <c r="L28" s="40">
        <v>34</v>
      </c>
      <c r="M28" s="40">
        <v>124</v>
      </c>
      <c r="N28" s="41">
        <f t="shared" si="6"/>
        <v>0.27419354838709675</v>
      </c>
      <c r="O28" s="40">
        <v>234</v>
      </c>
      <c r="P28" s="40">
        <v>360</v>
      </c>
      <c r="Q28" s="41">
        <f t="shared" si="3"/>
        <v>0.65</v>
      </c>
      <c r="R28" s="43">
        <f>105+76+69+31+26</f>
        <v>307</v>
      </c>
      <c r="S28" s="44">
        <v>327</v>
      </c>
      <c r="T28" s="43">
        <v>244</v>
      </c>
      <c r="U28" s="44">
        <v>175</v>
      </c>
      <c r="V28" s="43">
        <v>137</v>
      </c>
      <c r="W28" s="44">
        <v>159</v>
      </c>
      <c r="X28" s="45">
        <f>65+50+49+21+14</f>
        <v>199</v>
      </c>
      <c r="Y28" s="46">
        <f t="shared" si="4"/>
        <v>245</v>
      </c>
      <c r="Z28" s="45">
        <f>17+10+14+3+2</f>
        <v>46</v>
      </c>
      <c r="AA28" s="43">
        <f>5+0+1</f>
        <v>6</v>
      </c>
      <c r="AB28" s="40">
        <f>((625+631+532+255+183)*60)+55+30+45</f>
        <v>133690</v>
      </c>
    </row>
    <row r="29" spans="1:28" ht="12.75">
      <c r="A29" s="37">
        <v>151</v>
      </c>
      <c r="B29" s="37">
        <v>7</v>
      </c>
      <c r="C29" s="38" t="s">
        <v>57</v>
      </c>
      <c r="D29" s="39">
        <v>786</v>
      </c>
      <c r="E29" s="40">
        <v>286</v>
      </c>
      <c r="F29" s="40">
        <v>647</v>
      </c>
      <c r="G29" s="41">
        <f t="shared" si="0"/>
        <v>0.4420401854714065</v>
      </c>
      <c r="H29" s="40">
        <v>53</v>
      </c>
      <c r="I29" s="40">
        <v>140</v>
      </c>
      <c r="J29" s="41">
        <f t="shared" si="5"/>
        <v>0.37857142857142856</v>
      </c>
      <c r="K29" s="42">
        <f t="shared" si="2"/>
        <v>0.4307496823379924</v>
      </c>
      <c r="L29" s="40">
        <v>0</v>
      </c>
      <c r="M29" s="40">
        <v>6</v>
      </c>
      <c r="N29" s="41">
        <f t="shared" si="6"/>
        <v>0</v>
      </c>
      <c r="O29" s="40">
        <v>108</v>
      </c>
      <c r="P29" s="40">
        <v>232</v>
      </c>
      <c r="Q29" s="41">
        <f t="shared" si="3"/>
        <v>0.46551724137931033</v>
      </c>
      <c r="R29" s="43">
        <f>16+25+44+31+32+23+41</f>
        <v>212</v>
      </c>
      <c r="S29" s="44">
        <v>431</v>
      </c>
      <c r="T29" s="43">
        <v>48</v>
      </c>
      <c r="U29" s="44">
        <v>58</v>
      </c>
      <c r="V29" s="43">
        <v>99</v>
      </c>
      <c r="W29" s="44">
        <v>99</v>
      </c>
      <c r="X29" s="45">
        <f>38+57+76+57+97+56+96</f>
        <v>477</v>
      </c>
      <c r="Y29" s="46">
        <f t="shared" si="4"/>
        <v>693</v>
      </c>
      <c r="Z29" s="45">
        <f>17+31+45+36+24+20+43</f>
        <v>216</v>
      </c>
      <c r="AA29" s="43">
        <f>11+10+21+14+13</f>
        <v>69</v>
      </c>
      <c r="AB29" s="40">
        <f>((438+281+378+380+501+362+320)*60)+50+80</f>
        <v>159730</v>
      </c>
    </row>
    <row r="30" spans="1:28" ht="12.75">
      <c r="A30" s="37">
        <v>23</v>
      </c>
      <c r="B30" s="37">
        <v>2</v>
      </c>
      <c r="C30" s="38" t="s">
        <v>63</v>
      </c>
      <c r="D30" s="39">
        <v>62</v>
      </c>
      <c r="E30" s="40">
        <v>12</v>
      </c>
      <c r="F30" s="40">
        <v>42</v>
      </c>
      <c r="G30" s="41">
        <f t="shared" si="0"/>
        <v>0.2857142857142857</v>
      </c>
      <c r="H30" s="40">
        <v>3</v>
      </c>
      <c r="I30" s="40">
        <v>12</v>
      </c>
      <c r="J30" s="41">
        <f t="shared" si="5"/>
        <v>0.25</v>
      </c>
      <c r="K30" s="42">
        <f t="shared" si="2"/>
        <v>0.2777777777777778</v>
      </c>
      <c r="L30" s="40">
        <v>0</v>
      </c>
      <c r="M30" s="40">
        <v>1</v>
      </c>
      <c r="N30" s="41">
        <f t="shared" si="6"/>
        <v>0</v>
      </c>
      <c r="O30" s="40">
        <v>32</v>
      </c>
      <c r="P30" s="40">
        <v>55</v>
      </c>
      <c r="Q30" s="41">
        <f t="shared" si="3"/>
        <v>0.5818181818181818</v>
      </c>
      <c r="R30" s="43">
        <v>21</v>
      </c>
      <c r="S30" s="44">
        <v>65</v>
      </c>
      <c r="T30" s="43">
        <v>17</v>
      </c>
      <c r="U30" s="44">
        <v>20</v>
      </c>
      <c r="V30" s="43">
        <v>36</v>
      </c>
      <c r="W30" s="44">
        <v>9</v>
      </c>
      <c r="X30" s="45">
        <v>21</v>
      </c>
      <c r="Y30" s="46">
        <f t="shared" si="4"/>
        <v>40</v>
      </c>
      <c r="Z30" s="45">
        <v>19</v>
      </c>
      <c r="AA30" s="43">
        <v>1</v>
      </c>
      <c r="AB30" s="40">
        <f>2160+11410</f>
        <v>13570</v>
      </c>
    </row>
    <row r="31" spans="1:28" ht="12.75">
      <c r="A31" s="37">
        <v>302</v>
      </c>
      <c r="B31" s="37">
        <v>14</v>
      </c>
      <c r="C31" s="38" t="s">
        <v>64</v>
      </c>
      <c r="D31" s="39">
        <v>4586</v>
      </c>
      <c r="E31" s="107">
        <f>1422+41</f>
        <v>1463</v>
      </c>
      <c r="F31" s="107">
        <f>2526+78</f>
        <v>2604</v>
      </c>
      <c r="G31" s="41">
        <f t="shared" si="0"/>
        <v>0.5618279569892473</v>
      </c>
      <c r="H31" s="107">
        <v>30</v>
      </c>
      <c r="I31" s="107">
        <v>111</v>
      </c>
      <c r="J31" s="41">
        <f t="shared" si="5"/>
        <v>0.2702702702702703</v>
      </c>
      <c r="K31" s="42">
        <f t="shared" si="2"/>
        <v>0.5499079189686924</v>
      </c>
      <c r="L31" s="40">
        <v>3</v>
      </c>
      <c r="M31" s="40">
        <v>11</v>
      </c>
      <c r="N31" s="41">
        <f t="shared" si="6"/>
        <v>0.2727272727272727</v>
      </c>
      <c r="O31" s="40">
        <v>1193</v>
      </c>
      <c r="P31" s="40">
        <v>2078</v>
      </c>
      <c r="Q31" s="41">
        <f t="shared" si="3"/>
        <v>0.5741097208854667</v>
      </c>
      <c r="R31" s="106">
        <v>1653</v>
      </c>
      <c r="S31" s="44">
        <v>1284</v>
      </c>
      <c r="T31" s="43">
        <v>801</v>
      </c>
      <c r="U31" s="44">
        <v>476</v>
      </c>
      <c r="V31" s="43">
        <v>905</v>
      </c>
      <c r="W31" s="44">
        <v>414</v>
      </c>
      <c r="X31" s="108">
        <f>1374+4+6+0+1+2+1+3+4+3</f>
        <v>1398</v>
      </c>
      <c r="Y31" s="109">
        <f t="shared" si="4"/>
        <v>2169</v>
      </c>
      <c r="Z31" s="108">
        <f>745+1+6+1+5+1+4+8+0</f>
        <v>771</v>
      </c>
      <c r="AA31" s="106">
        <v>64</v>
      </c>
      <c r="AB31" s="107">
        <f>419255+11110</f>
        <v>430365</v>
      </c>
    </row>
    <row r="32" spans="1:28" ht="12.75">
      <c r="A32" s="37">
        <v>36</v>
      </c>
      <c r="B32" s="37">
        <v>2</v>
      </c>
      <c r="C32" s="38" t="s">
        <v>69</v>
      </c>
      <c r="D32" s="39">
        <f>89+96</f>
        <v>185</v>
      </c>
      <c r="E32" s="40">
        <f>29+24</f>
        <v>53</v>
      </c>
      <c r="F32" s="40">
        <f>54+44</f>
        <v>98</v>
      </c>
      <c r="G32" s="41">
        <f t="shared" si="0"/>
        <v>0.5408163265306123</v>
      </c>
      <c r="H32" s="40">
        <v>10</v>
      </c>
      <c r="I32" s="40">
        <v>40</v>
      </c>
      <c r="J32" s="41">
        <f t="shared" si="5"/>
        <v>0.25</v>
      </c>
      <c r="K32" s="42">
        <f t="shared" si="2"/>
        <v>0.45652173913043476</v>
      </c>
      <c r="L32" s="40">
        <v>5</v>
      </c>
      <c r="M32" s="40">
        <v>13</v>
      </c>
      <c r="N32" s="41">
        <f t="shared" si="6"/>
        <v>0.38461538461538464</v>
      </c>
      <c r="O32" s="40">
        <v>44</v>
      </c>
      <c r="P32" s="40">
        <v>73</v>
      </c>
      <c r="Q32" s="41">
        <f t="shared" si="3"/>
        <v>0.6027397260273972</v>
      </c>
      <c r="R32" s="43">
        <v>48</v>
      </c>
      <c r="S32" s="44">
        <v>38</v>
      </c>
      <c r="T32" s="43">
        <v>17</v>
      </c>
      <c r="U32" s="44">
        <v>21</v>
      </c>
      <c r="V32" s="43">
        <v>26</v>
      </c>
      <c r="W32" s="44">
        <v>13</v>
      </c>
      <c r="X32" s="45">
        <v>28</v>
      </c>
      <c r="Y32" s="46">
        <f t="shared" si="4"/>
        <v>61</v>
      </c>
      <c r="Z32" s="45">
        <v>33</v>
      </c>
      <c r="AA32" s="43">
        <v>1</v>
      </c>
      <c r="AB32" s="40">
        <f>13065+13080</f>
        <v>26145</v>
      </c>
    </row>
    <row r="33" spans="1:28" ht="12.75">
      <c r="A33" s="37">
        <v>111</v>
      </c>
      <c r="B33" s="37">
        <v>6</v>
      </c>
      <c r="C33" s="38" t="s">
        <v>54</v>
      </c>
      <c r="D33" s="39">
        <v>112</v>
      </c>
      <c r="E33" s="40">
        <v>8</v>
      </c>
      <c r="F33" s="40">
        <v>24</v>
      </c>
      <c r="G33" s="41">
        <f t="shared" si="0"/>
        <v>0.3333333333333333</v>
      </c>
      <c r="H33" s="40">
        <v>9</v>
      </c>
      <c r="I33" s="40">
        <v>27</v>
      </c>
      <c r="J33" s="41">
        <f t="shared" si="5"/>
        <v>0.3333333333333333</v>
      </c>
      <c r="K33" s="42">
        <f t="shared" si="2"/>
        <v>0.3333333333333333</v>
      </c>
      <c r="L33" s="40">
        <v>12</v>
      </c>
      <c r="M33" s="40">
        <v>55</v>
      </c>
      <c r="N33" s="41">
        <f t="shared" si="6"/>
        <v>0.21818181818181817</v>
      </c>
      <c r="O33" s="40">
        <v>42</v>
      </c>
      <c r="P33" s="40">
        <v>75</v>
      </c>
      <c r="Q33" s="41">
        <f t="shared" si="3"/>
        <v>0.56</v>
      </c>
      <c r="R33" s="43">
        <f>11+5+14+22+9+14</f>
        <v>75</v>
      </c>
      <c r="S33" s="44">
        <v>294</v>
      </c>
      <c r="T33" s="43">
        <v>371</v>
      </c>
      <c r="U33" s="44">
        <v>270</v>
      </c>
      <c r="V33" s="43">
        <v>104</v>
      </c>
      <c r="W33" s="44">
        <v>77</v>
      </c>
      <c r="X33" s="45">
        <f>24+9+38+43+28+41</f>
        <v>183</v>
      </c>
      <c r="Y33" s="46">
        <f t="shared" si="4"/>
        <v>193</v>
      </c>
      <c r="Z33" s="45">
        <f>0+3+2+0+2+3</f>
        <v>10</v>
      </c>
      <c r="AA33" s="43">
        <f>2+0+2+5</f>
        <v>9</v>
      </c>
      <c r="AB33" s="40">
        <f>((403+544+576+522+222+361+12)*60)+25+35+35+20+35+55</f>
        <v>158605</v>
      </c>
    </row>
    <row r="34" spans="1:28" ht="12.75">
      <c r="A34" s="37">
        <v>12</v>
      </c>
      <c r="B34" s="37">
        <v>1</v>
      </c>
      <c r="C34" s="38" t="s">
        <v>66</v>
      </c>
      <c r="D34" s="39">
        <v>27</v>
      </c>
      <c r="E34" s="40">
        <v>2</v>
      </c>
      <c r="F34" s="40">
        <v>4</v>
      </c>
      <c r="G34" s="41">
        <f t="shared" si="0"/>
        <v>0.5</v>
      </c>
      <c r="H34" s="40">
        <v>0</v>
      </c>
      <c r="I34" s="40">
        <v>1</v>
      </c>
      <c r="J34" s="41">
        <f t="shared" si="5"/>
        <v>0</v>
      </c>
      <c r="K34" s="42">
        <f t="shared" si="2"/>
        <v>0.4</v>
      </c>
      <c r="L34" s="40">
        <v>6</v>
      </c>
      <c r="M34" s="40">
        <v>23</v>
      </c>
      <c r="N34" s="41">
        <f t="shared" si="6"/>
        <v>0.2608695652173913</v>
      </c>
      <c r="O34" s="40">
        <v>5</v>
      </c>
      <c r="P34" s="40">
        <v>5</v>
      </c>
      <c r="Q34" s="55">
        <f t="shared" si="3"/>
        <v>1</v>
      </c>
      <c r="R34" s="43">
        <v>10</v>
      </c>
      <c r="S34" s="44">
        <v>19</v>
      </c>
      <c r="T34" s="43">
        <v>5</v>
      </c>
      <c r="U34" s="44">
        <v>11</v>
      </c>
      <c r="V34" s="43">
        <v>3</v>
      </c>
      <c r="W34" s="44">
        <v>2</v>
      </c>
      <c r="X34" s="45">
        <v>5</v>
      </c>
      <c r="Y34" s="46">
        <f t="shared" si="4"/>
        <v>7</v>
      </c>
      <c r="Z34" s="45">
        <v>2</v>
      </c>
      <c r="AA34" s="43"/>
      <c r="AB34" s="40">
        <v>8380</v>
      </c>
    </row>
    <row r="35" spans="1:28" ht="12.75">
      <c r="A35" s="37">
        <v>20</v>
      </c>
      <c r="B35" s="37">
        <v>1</v>
      </c>
      <c r="C35" s="38" t="s">
        <v>76</v>
      </c>
      <c r="D35" s="39">
        <v>303</v>
      </c>
      <c r="E35" s="40">
        <v>107</v>
      </c>
      <c r="F35" s="40">
        <v>173</v>
      </c>
      <c r="G35" s="41">
        <f t="shared" si="0"/>
        <v>0.6184971098265896</v>
      </c>
      <c r="H35" s="40">
        <v>17</v>
      </c>
      <c r="I35" s="40">
        <v>63</v>
      </c>
      <c r="J35" s="41">
        <f t="shared" si="5"/>
        <v>0.2698412698412698</v>
      </c>
      <c r="K35" s="42">
        <f t="shared" si="2"/>
        <v>0.5254237288135594</v>
      </c>
      <c r="L35" s="40">
        <v>0</v>
      </c>
      <c r="M35" s="40">
        <v>4</v>
      </c>
      <c r="N35" s="41">
        <f t="shared" si="6"/>
        <v>0</v>
      </c>
      <c r="O35" s="40">
        <v>55</v>
      </c>
      <c r="P35" s="40">
        <v>115</v>
      </c>
      <c r="Q35" s="41">
        <f t="shared" si="3"/>
        <v>0.4782608695652174</v>
      </c>
      <c r="R35" s="43">
        <v>78</v>
      </c>
      <c r="S35" s="44">
        <v>50</v>
      </c>
      <c r="T35" s="43">
        <v>14</v>
      </c>
      <c r="U35" s="44">
        <v>4</v>
      </c>
      <c r="V35" s="43">
        <v>16</v>
      </c>
      <c r="W35" s="44">
        <v>55</v>
      </c>
      <c r="X35" s="45">
        <v>148</v>
      </c>
      <c r="Y35" s="46">
        <f t="shared" si="4"/>
        <v>232</v>
      </c>
      <c r="Z35" s="45">
        <v>84</v>
      </c>
      <c r="AA35" s="43">
        <v>25</v>
      </c>
      <c r="AB35" s="40">
        <v>40500</v>
      </c>
    </row>
    <row r="36" spans="1:28" ht="12.75">
      <c r="A36" s="37">
        <v>21</v>
      </c>
      <c r="B36" s="37">
        <v>1</v>
      </c>
      <c r="C36" s="38" t="s">
        <v>67</v>
      </c>
      <c r="D36" s="39">
        <v>191</v>
      </c>
      <c r="E36" s="40">
        <v>56</v>
      </c>
      <c r="F36" s="40">
        <v>111</v>
      </c>
      <c r="G36" s="41">
        <f t="shared" si="0"/>
        <v>0.5045045045045045</v>
      </c>
      <c r="H36" s="40">
        <v>24</v>
      </c>
      <c r="I36" s="40">
        <v>83</v>
      </c>
      <c r="J36" s="41">
        <f t="shared" si="5"/>
        <v>0.2891566265060241</v>
      </c>
      <c r="K36" s="42">
        <f t="shared" si="2"/>
        <v>0.41237113402061853</v>
      </c>
      <c r="L36" s="40">
        <v>2</v>
      </c>
      <c r="M36" s="40">
        <v>8</v>
      </c>
      <c r="N36" s="41">
        <f t="shared" si="6"/>
        <v>0.25</v>
      </c>
      <c r="O36" s="40">
        <v>25</v>
      </c>
      <c r="P36" s="40">
        <v>48</v>
      </c>
      <c r="Q36" s="41">
        <f t="shared" si="3"/>
        <v>0.5208333333333334</v>
      </c>
      <c r="R36" s="43">
        <v>53</v>
      </c>
      <c r="S36" s="44">
        <v>81</v>
      </c>
      <c r="T36" s="43">
        <v>51</v>
      </c>
      <c r="U36" s="44">
        <v>33</v>
      </c>
      <c r="V36" s="43">
        <v>28</v>
      </c>
      <c r="W36" s="44">
        <v>32</v>
      </c>
      <c r="X36" s="45">
        <v>77</v>
      </c>
      <c r="Y36" s="46">
        <f t="shared" si="4"/>
        <v>130</v>
      </c>
      <c r="Z36" s="45">
        <v>53</v>
      </c>
      <c r="AA36" s="43"/>
      <c r="AB36" s="40">
        <v>36760</v>
      </c>
    </row>
    <row r="37" spans="1:28" ht="12.75">
      <c r="A37" s="37">
        <f>21+22</f>
        <v>43</v>
      </c>
      <c r="B37" s="37">
        <v>2</v>
      </c>
      <c r="C37" s="38" t="s">
        <v>77</v>
      </c>
      <c r="D37" s="39">
        <f>221+404</f>
        <v>625</v>
      </c>
      <c r="E37" s="40">
        <f>41+66</f>
        <v>107</v>
      </c>
      <c r="F37" s="40">
        <f>71+123</f>
        <v>194</v>
      </c>
      <c r="G37" s="41">
        <f t="shared" si="0"/>
        <v>0.5515463917525774</v>
      </c>
      <c r="H37" s="40">
        <f>7+24</f>
        <v>31</v>
      </c>
      <c r="I37" s="40">
        <f>62+30</f>
        <v>92</v>
      </c>
      <c r="J37" s="41">
        <f>H37/I37</f>
        <v>0.33695652173913043</v>
      </c>
      <c r="K37" s="42">
        <f>(E37+H37)/(F37+I37)</f>
        <v>0.4825174825174825</v>
      </c>
      <c r="L37" s="40">
        <f>30+56</f>
        <v>86</v>
      </c>
      <c r="M37" s="40">
        <f>188+92</f>
        <v>280</v>
      </c>
      <c r="N37" s="41">
        <f t="shared" si="6"/>
        <v>0.30714285714285716</v>
      </c>
      <c r="O37" s="40">
        <f>35+56</f>
        <v>91</v>
      </c>
      <c r="P37" s="40">
        <f>91+69</f>
        <v>160</v>
      </c>
      <c r="Q37" s="41">
        <f t="shared" si="3"/>
        <v>0.56875</v>
      </c>
      <c r="R37" s="43">
        <f>55+66</f>
        <v>121</v>
      </c>
      <c r="S37" s="44">
        <f>56+60</f>
        <v>116</v>
      </c>
      <c r="T37" s="43">
        <f>39+34</f>
        <v>73</v>
      </c>
      <c r="U37" s="44">
        <f>40+26</f>
        <v>66</v>
      </c>
      <c r="V37" s="43">
        <f>55+39</f>
        <v>94</v>
      </c>
      <c r="W37" s="44">
        <f>27+16</f>
        <v>43</v>
      </c>
      <c r="X37" s="45">
        <f>88+78</f>
        <v>166</v>
      </c>
      <c r="Y37" s="46">
        <f t="shared" si="4"/>
        <v>242</v>
      </c>
      <c r="Z37" s="45">
        <f>51+25</f>
        <v>76</v>
      </c>
      <c r="AA37" s="43">
        <f>6</f>
        <v>6</v>
      </c>
      <c r="AB37" s="40">
        <f>43780+33470</f>
        <v>77250</v>
      </c>
    </row>
    <row r="38" spans="1:28" ht="12.75">
      <c r="A38" s="37">
        <v>64</v>
      </c>
      <c r="B38" s="37">
        <v>3</v>
      </c>
      <c r="C38" s="38" t="s">
        <v>47</v>
      </c>
      <c r="D38" s="39">
        <v>632</v>
      </c>
      <c r="E38" s="40">
        <f>13+22+19</f>
        <v>54</v>
      </c>
      <c r="F38" s="40">
        <f>26+39+37</f>
        <v>102</v>
      </c>
      <c r="G38" s="41">
        <f t="shared" si="0"/>
        <v>0.5294117647058824</v>
      </c>
      <c r="H38" s="40">
        <f>9+13+8</f>
        <v>30</v>
      </c>
      <c r="I38" s="40">
        <f>24+25+22</f>
        <v>71</v>
      </c>
      <c r="J38" s="41">
        <f t="shared" si="5"/>
        <v>0.4225352112676056</v>
      </c>
      <c r="K38" s="42">
        <f t="shared" si="2"/>
        <v>0.48554913294797686</v>
      </c>
      <c r="L38" s="40">
        <v>111</v>
      </c>
      <c r="M38" s="40">
        <v>323</v>
      </c>
      <c r="N38" s="41">
        <f t="shared" si="6"/>
        <v>0.34365325077399383</v>
      </c>
      <c r="O38" s="40">
        <v>131</v>
      </c>
      <c r="P38" s="40">
        <v>168</v>
      </c>
      <c r="Q38" s="41">
        <f t="shared" si="3"/>
        <v>0.7797619047619048</v>
      </c>
      <c r="R38" s="43">
        <f>56+52+67</f>
        <v>175</v>
      </c>
      <c r="S38" s="44">
        <v>190</v>
      </c>
      <c r="T38" s="43">
        <v>411</v>
      </c>
      <c r="U38" s="44">
        <v>218</v>
      </c>
      <c r="V38" s="43">
        <v>86</v>
      </c>
      <c r="W38" s="44">
        <v>53</v>
      </c>
      <c r="X38" s="45">
        <f>41+51+71</f>
        <v>163</v>
      </c>
      <c r="Y38" s="46">
        <f t="shared" si="4"/>
        <v>183</v>
      </c>
      <c r="Z38" s="45">
        <f>7+11+2</f>
        <v>20</v>
      </c>
      <c r="AA38" s="43">
        <v>11</v>
      </c>
      <c r="AB38" s="40">
        <f>((792+787+625)*60)+85</f>
        <v>132325</v>
      </c>
    </row>
    <row r="39" spans="1:30" s="1" customFormat="1" ht="20.25" customHeight="1">
      <c r="A39" s="56">
        <f>SUM(A5:A38)</f>
        <v>2258</v>
      </c>
      <c r="B39" s="56"/>
      <c r="C39" s="57" t="s">
        <v>42</v>
      </c>
      <c r="D39" s="58">
        <f>SUM(D5:D38)</f>
        <v>22451</v>
      </c>
      <c r="E39" s="58">
        <f>SUM(E5:E38)</f>
        <v>5812</v>
      </c>
      <c r="F39" s="58">
        <f>SUM(F5:F38)</f>
        <v>10834</v>
      </c>
      <c r="G39" s="59">
        <f t="shared" si="0"/>
        <v>0.5364592948126269</v>
      </c>
      <c r="H39" s="58">
        <f>SUM(H5:H38)</f>
        <v>1090</v>
      </c>
      <c r="I39" s="58">
        <f>SUM(I5:I38)</f>
        <v>3156</v>
      </c>
      <c r="J39" s="59">
        <f t="shared" si="5"/>
        <v>0.3453738910012674</v>
      </c>
      <c r="K39" s="59">
        <f t="shared" si="2"/>
        <v>0.49335239456754826</v>
      </c>
      <c r="L39" s="58">
        <f>SUM(L5:L38)</f>
        <v>1133</v>
      </c>
      <c r="M39" s="58">
        <f>SUM(M5:M38)</f>
        <v>3820</v>
      </c>
      <c r="N39" s="59">
        <f t="shared" si="6"/>
        <v>0.29659685863874347</v>
      </c>
      <c r="O39" s="58">
        <f>SUM(O5:O38)</f>
        <v>4839</v>
      </c>
      <c r="P39" s="58">
        <f>SUM(P5:P38)</f>
        <v>7915</v>
      </c>
      <c r="Q39" s="59">
        <f t="shared" si="3"/>
        <v>0.6113708149084017</v>
      </c>
      <c r="R39" s="58">
        <f aca="true" t="shared" si="7" ref="R39:AB39">SUM(R5:R38)</f>
        <v>6234</v>
      </c>
      <c r="S39" s="58">
        <f t="shared" si="7"/>
        <v>6914</v>
      </c>
      <c r="T39" s="58">
        <f t="shared" si="7"/>
        <v>4559</v>
      </c>
      <c r="U39" s="58">
        <f t="shared" si="7"/>
        <v>2931</v>
      </c>
      <c r="V39" s="58">
        <f t="shared" si="7"/>
        <v>3234</v>
      </c>
      <c r="W39" s="58">
        <f t="shared" si="7"/>
        <v>2403</v>
      </c>
      <c r="X39" s="58">
        <f t="shared" si="7"/>
        <v>6804</v>
      </c>
      <c r="Y39" s="58">
        <f t="shared" si="7"/>
        <v>9981</v>
      </c>
      <c r="Z39" s="58">
        <f t="shared" si="7"/>
        <v>3177</v>
      </c>
      <c r="AA39" s="58">
        <f t="shared" si="7"/>
        <v>513</v>
      </c>
      <c r="AB39" s="60">
        <f t="shared" si="7"/>
        <v>3180885</v>
      </c>
      <c r="AC39"/>
      <c r="AD39"/>
    </row>
    <row r="40" spans="1:28" ht="15" customHeight="1">
      <c r="A40" s="13"/>
      <c r="B40" s="13"/>
      <c r="C40" s="13"/>
      <c r="D40" s="13"/>
      <c r="E40" s="13"/>
      <c r="F40" s="13"/>
      <c r="G40" s="14"/>
      <c r="H40" s="13"/>
      <c r="I40" s="13"/>
      <c r="J40" s="15"/>
      <c r="K40" s="21"/>
      <c r="L40" s="13"/>
      <c r="M40" s="13"/>
      <c r="N40" s="15"/>
      <c r="O40" s="13"/>
      <c r="P40" s="13"/>
      <c r="Q40" s="15"/>
      <c r="R40" s="13"/>
      <c r="S40" s="13"/>
      <c r="T40" s="13"/>
      <c r="U40" s="13"/>
      <c r="V40" s="13"/>
      <c r="W40" s="13"/>
      <c r="X40" s="13"/>
      <c r="Y40" s="17"/>
      <c r="Z40" s="13"/>
      <c r="AA40" s="13"/>
      <c r="AB40" s="13"/>
    </row>
    <row r="41" spans="1:30" s="7" customFormat="1" ht="15" customHeight="1">
      <c r="A41" s="9"/>
      <c r="B41" s="9"/>
      <c r="C41" s="9"/>
      <c r="D41" s="9"/>
      <c r="E41" s="23" t="s">
        <v>45</v>
      </c>
      <c r="F41" s="27"/>
      <c r="G41" s="28"/>
      <c r="H41" s="26"/>
      <c r="I41" s="30"/>
      <c r="J41" s="31"/>
      <c r="K41" s="20"/>
      <c r="L41" s="9"/>
      <c r="M41" s="9"/>
      <c r="N41" s="11"/>
      <c r="O41" s="9"/>
      <c r="P41" s="9"/>
      <c r="Q41" s="11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/>
      <c r="AD41"/>
    </row>
    <row r="42" spans="1:28" ht="15" customHeight="1">
      <c r="A42" s="13"/>
      <c r="B42" s="13"/>
      <c r="C42" s="13"/>
      <c r="D42" s="13"/>
      <c r="E42" s="29"/>
      <c r="F42" s="13"/>
      <c r="G42" s="14"/>
      <c r="H42" s="29"/>
      <c r="I42" s="13"/>
      <c r="J42" s="15"/>
      <c r="K42" s="16"/>
      <c r="L42" s="13"/>
      <c r="M42" s="13"/>
      <c r="N42" s="15"/>
      <c r="O42" s="13"/>
      <c r="P42" s="13"/>
      <c r="Q42" s="15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30" s="6" customFormat="1" ht="53.25">
      <c r="A43" s="61" t="s">
        <v>0</v>
      </c>
      <c r="B43" s="32" t="s">
        <v>50</v>
      </c>
      <c r="C43" s="62" t="s">
        <v>46</v>
      </c>
      <c r="D43" s="62" t="s">
        <v>1</v>
      </c>
      <c r="E43" s="62" t="s">
        <v>25</v>
      </c>
      <c r="F43" s="62" t="s">
        <v>26</v>
      </c>
      <c r="G43" s="63" t="s">
        <v>27</v>
      </c>
      <c r="H43" s="62" t="s">
        <v>28</v>
      </c>
      <c r="I43" s="62" t="s">
        <v>29</v>
      </c>
      <c r="J43" s="62" t="s">
        <v>30</v>
      </c>
      <c r="K43" s="64" t="s">
        <v>31</v>
      </c>
      <c r="L43" s="62" t="s">
        <v>15</v>
      </c>
      <c r="M43" s="62" t="s">
        <v>16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22</v>
      </c>
      <c r="T43" s="65" t="s">
        <v>37</v>
      </c>
      <c r="U43" s="65"/>
      <c r="V43" s="62" t="s">
        <v>38</v>
      </c>
      <c r="W43" s="62" t="s">
        <v>39</v>
      </c>
      <c r="X43" s="62" t="s">
        <v>40</v>
      </c>
      <c r="Y43" s="62" t="s">
        <v>41</v>
      </c>
      <c r="Z43" s="65"/>
      <c r="AA43" s="65"/>
      <c r="AB43" s="62" t="s">
        <v>43</v>
      </c>
      <c r="AC43"/>
      <c r="AD43"/>
    </row>
    <row r="44" spans="1:28" ht="12.75">
      <c r="A44" s="37">
        <f aca="true" t="shared" si="8" ref="A44:C45">A5</f>
        <v>12</v>
      </c>
      <c r="B44" s="37">
        <f t="shared" si="8"/>
        <v>2</v>
      </c>
      <c r="C44" s="38" t="str">
        <f t="shared" si="8"/>
        <v>Botteron Christophe</v>
      </c>
      <c r="D44" s="66">
        <f>D5/A5</f>
        <v>1.1666666666666667</v>
      </c>
      <c r="E44" s="67">
        <f>F5/A44</f>
        <v>0.9166666666666666</v>
      </c>
      <c r="F44" s="67">
        <f>I5/A44</f>
        <v>0.08333333333333333</v>
      </c>
      <c r="G44" s="68">
        <f>(F5+I5)/A44</f>
        <v>1</v>
      </c>
      <c r="H44" s="69">
        <f>M5/A44</f>
        <v>0.25</v>
      </c>
      <c r="I44" s="70">
        <f>(F5+I5+M5)/A44</f>
        <v>1.25</v>
      </c>
      <c r="J44" s="71">
        <f>P5/A44</f>
        <v>1.0833333333333333</v>
      </c>
      <c r="K44" s="72">
        <f>R5/(A44)</f>
        <v>1.0833333333333333</v>
      </c>
      <c r="L44" s="73">
        <f>S5/A44</f>
        <v>1.75</v>
      </c>
      <c r="M44" s="66">
        <f>T5/A44</f>
        <v>1.6666666666666667</v>
      </c>
      <c r="N44" s="74">
        <f>U5/A44</f>
        <v>1.75</v>
      </c>
      <c r="O44" s="75">
        <f>V5/A44</f>
        <v>1</v>
      </c>
      <c r="P44" s="74">
        <f>W5/A44</f>
        <v>0.75</v>
      </c>
      <c r="Q44" s="76">
        <f>Y5/A44</f>
        <v>0.5833333333333334</v>
      </c>
      <c r="R44" s="77">
        <f>X5/A44</f>
        <v>0.5</v>
      </c>
      <c r="S44" s="77">
        <f>Z5/A44</f>
        <v>0.08333333333333333</v>
      </c>
      <c r="T44" s="78">
        <f>INT((AB5/A5)/60)</f>
        <v>19</v>
      </c>
      <c r="U44" s="79">
        <f>MOD((AB5/A5),60)</f>
        <v>25</v>
      </c>
      <c r="V44" s="80">
        <f>T5+V5+(X5*0.5)+(Z5*0.85)+(AA5*1.4)-((U5+W5)*0.8)-((F5+I5+M5+P5)*0.6)+((E5+H5)*1.4)+(L5*2.4)+O5</f>
        <v>6.65</v>
      </c>
      <c r="W44" s="81">
        <f>((T5+V5-U5-W5)/AB5)*2600</f>
        <v>0.37195994277539346</v>
      </c>
      <c r="X44" s="82">
        <f>(D5/AB5)*60</f>
        <v>0.06008583690987124</v>
      </c>
      <c r="Y44" s="81">
        <f>V44/A44</f>
        <v>0.5541666666666667</v>
      </c>
      <c r="Z44" s="83"/>
      <c r="AA44" s="84"/>
      <c r="AB44" s="85">
        <f>(E5*2+H5*2+L5*3)/(F5*2+I5*2+M5*2)</f>
        <v>0.26666666666666666</v>
      </c>
    </row>
    <row r="45" spans="1:28" ht="12.75">
      <c r="A45" s="37">
        <f t="shared" si="8"/>
        <v>9</v>
      </c>
      <c r="B45" s="37">
        <f t="shared" si="8"/>
        <v>1</v>
      </c>
      <c r="C45" s="38" t="str">
        <f t="shared" si="8"/>
        <v>Botteron Claude</v>
      </c>
      <c r="D45" s="66">
        <f>D6/A6</f>
        <v>2.111111111111111</v>
      </c>
      <c r="E45" s="67">
        <f>F6/A45</f>
        <v>0.8888888888888888</v>
      </c>
      <c r="F45" s="67">
        <f>I6/A45</f>
        <v>0.1111111111111111</v>
      </c>
      <c r="G45" s="68">
        <f>(F6+I6)/A45</f>
        <v>1</v>
      </c>
      <c r="H45" s="69">
        <f>M6/A45</f>
        <v>0.2222222222222222</v>
      </c>
      <c r="I45" s="70">
        <f>(F6+I6+M6)/A45</f>
        <v>1.2222222222222223</v>
      </c>
      <c r="J45" s="71">
        <f>P6/A45</f>
        <v>0.7777777777777778</v>
      </c>
      <c r="K45" s="72">
        <f>R6/(A45)</f>
        <v>0.8888888888888888</v>
      </c>
      <c r="L45" s="73">
        <f>S6/A45</f>
        <v>1.2222222222222223</v>
      </c>
      <c r="M45" s="66">
        <f>T6/A45</f>
        <v>0.3333333333333333</v>
      </c>
      <c r="N45" s="74">
        <f>U6/A45</f>
        <v>1.1111111111111112</v>
      </c>
      <c r="O45" s="75">
        <f>V6/A45</f>
        <v>0.2222222222222222</v>
      </c>
      <c r="P45" s="74">
        <f>W6/A45</f>
        <v>0.3333333333333333</v>
      </c>
      <c r="Q45" s="76">
        <f>Y6/A45</f>
        <v>0.3333333333333333</v>
      </c>
      <c r="R45" s="77">
        <f>X6/A45</f>
        <v>0.2222222222222222</v>
      </c>
      <c r="S45" s="77">
        <f>Z6/A45</f>
        <v>0.1111111111111111</v>
      </c>
      <c r="T45" s="78">
        <f>INT((AB6/A6)/60)</f>
        <v>8</v>
      </c>
      <c r="U45" s="79">
        <f>MOD((AB6/A6),60)</f>
        <v>0</v>
      </c>
      <c r="V45" s="80">
        <f>T6+V6+(X6*0.5)+(Z6*0.85)+(AA6*1.4)-((U6+W6)*0.8)-((F6+I6+M6+P6)*0.6)+((E6+H6)*1.4)+(L6*2.4)+O6</f>
        <v>1.0499999999999998</v>
      </c>
      <c r="W45" s="81">
        <f>((T6+V6-U6-W6)/AB6)*2600</f>
        <v>-4.814814814814815</v>
      </c>
      <c r="X45" s="82">
        <f>(D6/AB6)*60</f>
        <v>0.2638888888888889</v>
      </c>
      <c r="Y45" s="81">
        <f>V45/A45</f>
        <v>0.11666666666666664</v>
      </c>
      <c r="Z45" s="83"/>
      <c r="AA45" s="84"/>
      <c r="AB45" s="85">
        <f>(E6*2+H6*2+L6*3)/(F6*2+I6*2+M6*2)</f>
        <v>0.6363636363636364</v>
      </c>
    </row>
    <row r="46" spans="1:28" ht="12.75">
      <c r="A46" s="37">
        <f>A7</f>
        <v>18</v>
      </c>
      <c r="B46" s="37">
        <f>B7</f>
        <v>1</v>
      </c>
      <c r="C46" s="38" t="str">
        <f>C7</f>
        <v>Botton Fred</v>
      </c>
      <c r="D46" s="66">
        <f>D7/A7</f>
        <v>15.666666666666666</v>
      </c>
      <c r="E46" s="67">
        <f>F7/A46</f>
        <v>3.3333333333333335</v>
      </c>
      <c r="F46" s="67">
        <f>I7/A46</f>
        <v>3.611111111111111</v>
      </c>
      <c r="G46" s="68">
        <f>(F7+I7)/A46</f>
        <v>6.944444444444445</v>
      </c>
      <c r="H46" s="69">
        <f>M7/A46</f>
        <v>7.055555555555555</v>
      </c>
      <c r="I46" s="66">
        <f>(F7+I7+M7)/A46</f>
        <v>14</v>
      </c>
      <c r="J46" s="71">
        <f>P7/A46</f>
        <v>3</v>
      </c>
      <c r="K46" s="72">
        <f>R7/A46</f>
        <v>2.888888888888889</v>
      </c>
      <c r="L46" s="73">
        <f>S7/A46</f>
        <v>2.3333333333333335</v>
      </c>
      <c r="M46" s="66">
        <f>T7/A46</f>
        <v>3.388888888888889</v>
      </c>
      <c r="N46" s="74">
        <f>U7/A46</f>
        <v>3.1666666666666665</v>
      </c>
      <c r="O46" s="75">
        <f>V7/A46</f>
        <v>1.4444444444444444</v>
      </c>
      <c r="P46" s="74">
        <f>W7/A46</f>
        <v>0.8888888888888888</v>
      </c>
      <c r="Q46" s="76">
        <f>Y7/A46</f>
        <v>2.8333333333333335</v>
      </c>
      <c r="R46" s="77">
        <f>X7/A46</f>
        <v>2.0555555555555554</v>
      </c>
      <c r="S46" s="77">
        <f>Z7/A46</f>
        <v>0.7777777777777778</v>
      </c>
      <c r="T46" s="86">
        <f>INT((AB7/A7)/60)</f>
        <v>36</v>
      </c>
      <c r="U46" s="79">
        <f>MOD((AB7/A7),60)</f>
        <v>16.111111111111313</v>
      </c>
      <c r="V46" s="80">
        <f>T7+V7+(X7*0.5)+(Z7*0.85)+(AA7*1.4)-((U7+W7)*0.8)-((F7+I7+M7+P7)*0.6)+((E7+H7)*1.4)+(L7*2.4)+O7</f>
        <v>105.6</v>
      </c>
      <c r="W46" s="81">
        <f>((T7+V7-U7-W7)/AB7)*2600</f>
        <v>0.9292826142455961</v>
      </c>
      <c r="X46" s="82">
        <f>(D7/AB7)*60</f>
        <v>0.4319632371713046</v>
      </c>
      <c r="Y46" s="81">
        <f>V46/A46</f>
        <v>5.866666666666666</v>
      </c>
      <c r="Z46" s="83"/>
      <c r="AA46" s="84"/>
      <c r="AB46" s="85">
        <f>(E7*2+H7*2+L7*3)/(F7*2+I7*2+M7*2)</f>
        <v>0.4861111111111111</v>
      </c>
    </row>
    <row r="47" spans="1:28" ht="12.75">
      <c r="A47" s="37">
        <f>A8</f>
        <v>6</v>
      </c>
      <c r="B47" s="37">
        <f>B8</f>
        <v>1</v>
      </c>
      <c r="C47" s="38" t="str">
        <f>C8</f>
        <v>Camara Mickaël</v>
      </c>
      <c r="D47" s="66">
        <f>D8/A8</f>
        <v>0.8333333333333334</v>
      </c>
      <c r="E47" s="87">
        <f>F8/A47</f>
        <v>0.5</v>
      </c>
      <c r="F47" s="87">
        <f>I8/A47</f>
        <v>0.6666666666666666</v>
      </c>
      <c r="G47" s="68">
        <f>(F8+I8)/A47</f>
        <v>1.1666666666666667</v>
      </c>
      <c r="H47" s="69">
        <f>M8/A47</f>
        <v>0</v>
      </c>
      <c r="I47" s="70">
        <f>(F8+I8+M8)/A47</f>
        <v>1.1666666666666667</v>
      </c>
      <c r="J47" s="71">
        <f>P8/A47</f>
        <v>1</v>
      </c>
      <c r="K47" s="88">
        <f>R8/A47</f>
        <v>0.5</v>
      </c>
      <c r="L47" s="74">
        <f>S8/A47</f>
        <v>0.8333333333333334</v>
      </c>
      <c r="M47" s="66">
        <f>T8/A47</f>
        <v>0</v>
      </c>
      <c r="N47" s="74">
        <f>U8/A47</f>
        <v>0.16666666666666666</v>
      </c>
      <c r="O47" s="66">
        <f>V8/A47</f>
        <v>0.3333333333333333</v>
      </c>
      <c r="P47" s="74">
        <f>W8/A47</f>
        <v>0.5</v>
      </c>
      <c r="Q47" s="76">
        <f>Y8/A47</f>
        <v>0.16666666666666666</v>
      </c>
      <c r="R47" s="77">
        <f>X8/A47</f>
        <v>0</v>
      </c>
      <c r="S47" s="77">
        <f>Z8/A47</f>
        <v>0.16666666666666666</v>
      </c>
      <c r="T47" s="89">
        <f>INT((AB8/A8)/60)</f>
        <v>4</v>
      </c>
      <c r="U47" s="90">
        <f>MOD((AB8/A8),60)</f>
        <v>11.666666666666657</v>
      </c>
      <c r="V47" s="80">
        <f>T8+V8+(X8*0.5)+(Z8*0.85)+(AA8*1.4)-((U8+W8)*0.8)-((F8+I8+M8+P8)*0.6)+((E8+H8)*1.4)+(L8*2.4)+O8</f>
        <v>-4.3500000000000005</v>
      </c>
      <c r="W47" s="91">
        <f>((T8+V8-U8-W8)/AB8)*2600</f>
        <v>-3.443708609271523</v>
      </c>
      <c r="X47" s="82">
        <f>(D8/AB8)*60</f>
        <v>0.1986754966887417</v>
      </c>
      <c r="Y47" s="91">
        <f>V47/A47</f>
        <v>-0.7250000000000001</v>
      </c>
      <c r="Z47" s="92"/>
      <c r="AA47" s="93"/>
      <c r="AB47" s="94">
        <f>(E8*2+H8*2+L8*3)/(F8*2+I8*2+M8*2)</f>
        <v>0.2857142857142857</v>
      </c>
    </row>
    <row r="48" spans="1:28" ht="12.75">
      <c r="A48" s="37">
        <f>A9</f>
        <v>44</v>
      </c>
      <c r="B48" s="37">
        <f>B9</f>
        <v>2</v>
      </c>
      <c r="C48" s="38" t="str">
        <f>C9</f>
        <v>Charpentier Virgile</v>
      </c>
      <c r="D48" s="66">
        <f>D9/A9</f>
        <v>6.295454545454546</v>
      </c>
      <c r="E48" s="67">
        <f>F9/A48</f>
        <v>2.659090909090909</v>
      </c>
      <c r="F48" s="67">
        <f>I9/A48</f>
        <v>1.9318181818181819</v>
      </c>
      <c r="G48" s="68">
        <f>(F9+I9)/A48</f>
        <v>4.590909090909091</v>
      </c>
      <c r="H48" s="69">
        <f>M9/A48</f>
        <v>1.0454545454545454</v>
      </c>
      <c r="I48" s="70">
        <f>(F9+I9+M9)/A48</f>
        <v>5.636363636363637</v>
      </c>
      <c r="J48" s="71">
        <f>P9/A48</f>
        <v>3.1363636363636362</v>
      </c>
      <c r="K48" s="72">
        <f>R9/(A48)</f>
        <v>2.909090909090909</v>
      </c>
      <c r="L48" s="73">
        <f>S9/A48</f>
        <v>2.522727272727273</v>
      </c>
      <c r="M48" s="66">
        <f>T9/A48</f>
        <v>2.7045454545454546</v>
      </c>
      <c r="N48" s="74">
        <f>U9/A48</f>
        <v>2.409090909090909</v>
      </c>
      <c r="O48" s="75">
        <f>V9/A48</f>
        <v>1.2045454545454546</v>
      </c>
      <c r="P48" s="74">
        <f>W9/A48</f>
        <v>1.0681818181818181</v>
      </c>
      <c r="Q48" s="76">
        <f>Y9/A48</f>
        <v>3.75</v>
      </c>
      <c r="R48" s="77">
        <f>X9/A48</f>
        <v>2.909090909090909</v>
      </c>
      <c r="S48" s="77">
        <f>Z9/A48</f>
        <v>0.8409090909090909</v>
      </c>
      <c r="T48" s="86">
        <f>INT((AB9/A9)/60)</f>
        <v>27</v>
      </c>
      <c r="U48" s="79">
        <f>MOD((AB9/A9),60)</f>
        <v>30.227272727272748</v>
      </c>
      <c r="V48" s="80">
        <f>T9+V9+(X9*0.5)+(Z9*0.85)+(AA9*1.4)-((U9+W9)*0.8)-((F9+I9+M9+P9)*0.6)+((E9+H9)*1.4)+(L9*2.4)+O9</f>
        <v>146.65</v>
      </c>
      <c r="W48" s="81">
        <f>((T9+V9-U9-W9)/AB9)*2600</f>
        <v>0.6803470596336593</v>
      </c>
      <c r="X48" s="82">
        <f>(D9/AB9)*60</f>
        <v>0.22889409172290318</v>
      </c>
      <c r="Y48" s="81">
        <f>V48/A48</f>
        <v>3.3329545454545455</v>
      </c>
      <c r="Z48" s="83"/>
      <c r="AA48" s="84"/>
      <c r="AB48" s="85">
        <f>(E9*2+H9*2+L9*3)/(F9*2+I9*2+M9*2)</f>
        <v>0.4153225806451613</v>
      </c>
    </row>
    <row r="49" spans="1:28" ht="12.75">
      <c r="A49" s="37">
        <f>A10</f>
        <v>86</v>
      </c>
      <c r="B49" s="37">
        <f>B10</f>
        <v>4</v>
      </c>
      <c r="C49" s="38" t="str">
        <f>C10</f>
        <v>Condemine Didier</v>
      </c>
      <c r="D49" s="66">
        <f>D10/A10</f>
        <v>19.930232558139537</v>
      </c>
      <c r="E49" s="67">
        <f>F10/A49</f>
        <v>5.174418604651163</v>
      </c>
      <c r="F49" s="67">
        <f>I10/A49</f>
        <v>4.837209302325581</v>
      </c>
      <c r="G49" s="68">
        <f>(F10+I10)/A49</f>
        <v>10.011627906976743</v>
      </c>
      <c r="H49" s="69">
        <f>M10/A49</f>
        <v>4.1976744186046515</v>
      </c>
      <c r="I49" s="66">
        <f>(F10+I10+M10)/A49</f>
        <v>14.209302325581396</v>
      </c>
      <c r="J49" s="71">
        <f>P10/A49</f>
        <v>7.674418604651163</v>
      </c>
      <c r="K49" s="72">
        <f>R10/A49</f>
        <v>6.267441860465116</v>
      </c>
      <c r="L49" s="73">
        <f>S10/A49</f>
        <v>3.511627906976744</v>
      </c>
      <c r="M49" s="66">
        <f>T10/A49</f>
        <v>2.8255813953488373</v>
      </c>
      <c r="N49" s="74">
        <f>U10/A49</f>
        <v>1.0116279069767442</v>
      </c>
      <c r="O49" s="75">
        <f>V10/A49</f>
        <v>1.9767441860465116</v>
      </c>
      <c r="P49" s="74">
        <f>W10/A49</f>
        <v>1.7093023255813953</v>
      </c>
      <c r="Q49" s="76">
        <f>Y10/A49</f>
        <v>5.383720930232558</v>
      </c>
      <c r="R49" s="77">
        <f>X10/A49</f>
        <v>4.267441860465116</v>
      </c>
      <c r="S49" s="77">
        <f>Z10/A49</f>
        <v>1.1162790697674418</v>
      </c>
      <c r="T49" s="86">
        <f>INT((AB10/A10)/60)</f>
        <v>31</v>
      </c>
      <c r="U49" s="79">
        <f>MOD((AB10/A10),60)</f>
        <v>18.953488372093034</v>
      </c>
      <c r="V49" s="80">
        <f>T10+V10+(X10*0.5)+(Z10*0.85)+(AA10*1.4)-((U10+W10)*0.8)-((F10+I10+M10+P10)*0.6)+((E10+H10)*1.4)+(L10*2.4)+O10</f>
        <v>759.4999999999998</v>
      </c>
      <c r="W49" s="81">
        <f>((T10+V10-U10-W10)/AB10)*2600</f>
        <v>2.8801287208366855</v>
      </c>
      <c r="X49" s="82">
        <f>(D10/AB10)*60</f>
        <v>0.6364255213812735</v>
      </c>
      <c r="Y49" s="81">
        <f>V49/A49</f>
        <v>8.831395348837207</v>
      </c>
      <c r="Z49" s="83"/>
      <c r="AA49" s="84"/>
      <c r="AB49" s="85">
        <f>(E10*2+H10*2+L10*3)/(F10*2+I10*2+M10*2)</f>
        <v>0.4967266775777414</v>
      </c>
    </row>
    <row r="50" spans="1:28" ht="12.75">
      <c r="A50" s="37">
        <f>A11</f>
        <v>15</v>
      </c>
      <c r="B50" s="37">
        <f>B11</f>
        <v>3</v>
      </c>
      <c r="C50" s="38" t="str">
        <f>C11</f>
        <v>Copéret Gilles</v>
      </c>
      <c r="D50" s="66">
        <f>D11/A11</f>
        <v>2.3333333333333335</v>
      </c>
      <c r="E50" s="67">
        <f>F11/A50</f>
        <v>1.6666666666666667</v>
      </c>
      <c r="F50" s="67">
        <f>I11/A50</f>
        <v>0</v>
      </c>
      <c r="G50" s="68">
        <f>(F11+I11)/A50</f>
        <v>1.6666666666666667</v>
      </c>
      <c r="H50" s="69">
        <f>M11/A50</f>
        <v>0</v>
      </c>
      <c r="I50" s="70">
        <f>(F11+I11+M11)/A50</f>
        <v>1.6666666666666667</v>
      </c>
      <c r="J50" s="71">
        <f>P11/A50</f>
        <v>1.1333333333333333</v>
      </c>
      <c r="K50" s="72">
        <f>R11/A50</f>
        <v>0.8</v>
      </c>
      <c r="L50" s="73">
        <f>S11/A50</f>
        <v>1.4</v>
      </c>
      <c r="M50" s="66">
        <f>T11/A50</f>
        <v>0</v>
      </c>
      <c r="N50" s="74">
        <f>U11/A50</f>
        <v>0.2</v>
      </c>
      <c r="O50" s="75">
        <f>V11/A50</f>
        <v>0.06666666666666667</v>
      </c>
      <c r="P50" s="74">
        <f>W11/A50</f>
        <v>0.7333333333333333</v>
      </c>
      <c r="Q50" s="76">
        <f>Y11/A50</f>
        <v>1.6666666666666667</v>
      </c>
      <c r="R50" s="77">
        <f>X11/A50</f>
        <v>1</v>
      </c>
      <c r="S50" s="77">
        <f>Z11/A50</f>
        <v>0.6666666666666666</v>
      </c>
      <c r="T50" s="78">
        <f>INT((AB11/A11)/60)</f>
        <v>5</v>
      </c>
      <c r="U50" s="79">
        <f>MOD((AB11/A11),60)</f>
        <v>45.333333333333314</v>
      </c>
      <c r="V50" s="80">
        <f>T11+V11+(X11*0.5)+(Z11*0.85)+(AA11*1.4)-((U11+W11)*0.8)-((F11+I11+M11+P11)*0.6)+((E11+H11)*1.4)+(L11*2.4)+O11</f>
        <v>7.800000000000001</v>
      </c>
      <c r="W50" s="81">
        <f>((T11+V11-U11-W11)/AB11)*2600</f>
        <v>-6.525096525096525</v>
      </c>
      <c r="X50" s="82">
        <f>(D11/AB11)*60</f>
        <v>0.40540540540540543</v>
      </c>
      <c r="Y50" s="81">
        <f>V50/A50</f>
        <v>0.52</v>
      </c>
      <c r="Z50" s="83"/>
      <c r="AA50" s="84"/>
      <c r="AB50" s="85">
        <f>(E11*2+H11*2+L11*3)/(F11*2+I11*2+M11*2)</f>
        <v>0.52</v>
      </c>
    </row>
    <row r="51" spans="1:28" ht="12.75">
      <c r="A51" s="37">
        <f aca="true" t="shared" si="9" ref="A51:C52">A12</f>
        <v>58</v>
      </c>
      <c r="B51" s="37">
        <f t="shared" si="9"/>
        <v>3</v>
      </c>
      <c r="C51" s="38" t="str">
        <f t="shared" si="9"/>
        <v>Cosset Cédric</v>
      </c>
      <c r="D51" s="66">
        <f>D12/A12</f>
        <v>5.724137931034483</v>
      </c>
      <c r="E51" s="67">
        <f>F12/A51</f>
        <v>3.413793103448276</v>
      </c>
      <c r="F51" s="67">
        <f>I12/A51</f>
        <v>0.6724137931034483</v>
      </c>
      <c r="G51" s="68">
        <f>(F12+I12)/A51</f>
        <v>4.086206896551724</v>
      </c>
      <c r="H51" s="69">
        <f>M12/A51</f>
        <v>0.8793103448275862</v>
      </c>
      <c r="I51" s="70">
        <f>(F12+I12+M12)/A51</f>
        <v>4.9655172413793105</v>
      </c>
      <c r="J51" s="71">
        <f>P12/A51</f>
        <v>3.4310344827586206</v>
      </c>
      <c r="K51" s="72">
        <f>R12/A51</f>
        <v>3.7758620689655173</v>
      </c>
      <c r="L51" s="73">
        <f>S12/A51</f>
        <v>2.5344827586206895</v>
      </c>
      <c r="M51" s="66">
        <f>T12/A51</f>
        <v>7.137931034482759</v>
      </c>
      <c r="N51" s="74">
        <f>U12/A51</f>
        <v>3.189655172413793</v>
      </c>
      <c r="O51" s="75">
        <f>V12/A51</f>
        <v>2.706896551724138</v>
      </c>
      <c r="P51" s="74">
        <f>W12/A51</f>
        <v>1.8448275862068966</v>
      </c>
      <c r="Q51" s="76">
        <f>Y12/A51</f>
        <v>4.155172413793103</v>
      </c>
      <c r="R51" s="77">
        <f>X12/A51</f>
        <v>3.0344827586206895</v>
      </c>
      <c r="S51" s="77">
        <f>Z12/A51</f>
        <v>1.1206896551724137</v>
      </c>
      <c r="T51" s="78">
        <f>INT((AB12/A12)/60)</f>
        <v>29</v>
      </c>
      <c r="U51" s="79">
        <f>MOD((AB12/A12),60)</f>
        <v>46.4655172413793</v>
      </c>
      <c r="V51" s="80">
        <f>T12+V12+(X12*0.5)+(Z12*0.85)+(AA12*1.4)-((U12+W12)*0.8)-((F12+I12+M12+P12)*0.6)+((E12+H12)*1.4)+(L12*2.4)+O12</f>
        <v>447.24999999999994</v>
      </c>
      <c r="W51" s="81">
        <f>((T12+V12-U12-W12)/AB12)*2600</f>
        <v>7.000916855667616</v>
      </c>
      <c r="X51" s="82">
        <f>(D12/AB12)*60</f>
        <v>0.19225015683057473</v>
      </c>
      <c r="Y51" s="81">
        <f>V51/A51</f>
        <v>7.711206896551723</v>
      </c>
      <c r="Z51" s="83"/>
      <c r="AA51" s="84"/>
      <c r="AB51" s="85">
        <f>(E12*2+H12*2+L12*3)/(F12*2+I12*2+M12*2)</f>
        <v>0.4340277777777778</v>
      </c>
    </row>
    <row r="52" spans="1:28" ht="12.75">
      <c r="A52" s="37">
        <f>A13</f>
        <v>43</v>
      </c>
      <c r="B52" s="37">
        <f>B13</f>
        <v>2</v>
      </c>
      <c r="C52" s="38" t="str">
        <f>C13</f>
        <v>Cosset Karl</v>
      </c>
      <c r="D52" s="66">
        <f>D13/A13</f>
        <v>14.186046511627907</v>
      </c>
      <c r="E52" s="67">
        <f>F13/A52</f>
        <v>3.604651162790698</v>
      </c>
      <c r="F52" s="67">
        <f>I13/A52</f>
        <v>1.2790697674418605</v>
      </c>
      <c r="G52" s="68">
        <f>(F13+I13)/A52</f>
        <v>4.883720930232558</v>
      </c>
      <c r="H52" s="69">
        <f>M13/A52</f>
        <v>8.325581395348838</v>
      </c>
      <c r="I52" s="70">
        <f>(F13+I13+M13)/A52</f>
        <v>13.209302325581396</v>
      </c>
      <c r="J52" s="71">
        <f>P13/A52</f>
        <v>2.8372093023255816</v>
      </c>
      <c r="K52" s="72">
        <f>R13/A52</f>
        <v>2.488372093023256</v>
      </c>
      <c r="L52" s="73">
        <f>S13/A52</f>
        <v>2.2325581395348837</v>
      </c>
      <c r="M52" s="66">
        <f>T13/A52</f>
        <v>3.116279069767442</v>
      </c>
      <c r="N52" s="74">
        <f>U13/A52</f>
        <v>1.558139534883721</v>
      </c>
      <c r="O52" s="75">
        <f>V13/A52</f>
        <v>1.744186046511628</v>
      </c>
      <c r="P52" s="74">
        <f>W13/A52</f>
        <v>0.8837209302325582</v>
      </c>
      <c r="Q52" s="76">
        <f>Y13/A52</f>
        <v>2.558139534883721</v>
      </c>
      <c r="R52" s="77">
        <f>X13/A52</f>
        <v>1.8604651162790697</v>
      </c>
      <c r="S52" s="77">
        <f>Z13/A52</f>
        <v>0.6976744186046512</v>
      </c>
      <c r="T52" s="78">
        <f>INT((AB13/A13)/60)</f>
        <v>27</v>
      </c>
      <c r="U52" s="79">
        <f>MOD((AB13/A13),60)</f>
        <v>42.09302325581393</v>
      </c>
      <c r="V52" s="80">
        <f>T13+V13+(X13*0.5)+(Z13*0.85)+(AA13*1.4)-((U13+W13)*0.8)-((F13+I13+M13+P13)*0.6)+((E13+H13)*1.4)+(L13*2.4)+O13</f>
        <v>273.1</v>
      </c>
      <c r="W52" s="81">
        <f>((T13+V13-U13-W13)/AB13)*2600</f>
        <v>3.7834056247376524</v>
      </c>
      <c r="X52" s="82">
        <f>(D13/AB13)*60</f>
        <v>0.5121029802714426</v>
      </c>
      <c r="Y52" s="81">
        <f>V52/A52</f>
        <v>6.351162790697675</v>
      </c>
      <c r="Z52" s="83"/>
      <c r="AA52" s="84"/>
      <c r="AB52" s="85">
        <f>(E13*2+H13*2+L13*3)/(F13*2+I13*2+M13*2)</f>
        <v>0.4586267605633803</v>
      </c>
    </row>
    <row r="53" spans="1:28" ht="12.75">
      <c r="A53" s="37">
        <f>A14</f>
        <v>144</v>
      </c>
      <c r="B53" s="37">
        <f>B14</f>
        <v>7</v>
      </c>
      <c r="C53" s="38" t="str">
        <f>C14</f>
        <v>Ducrot Franck</v>
      </c>
      <c r="D53" s="66">
        <f>D14/A14</f>
        <v>8.847222222222221</v>
      </c>
      <c r="E53" s="67">
        <f>F14/A53</f>
        <v>5.270833333333333</v>
      </c>
      <c r="F53" s="67">
        <f>I14/A53</f>
        <v>2.111111111111111</v>
      </c>
      <c r="G53" s="68">
        <f>(F14+I14)/A53</f>
        <v>7.381944444444445</v>
      </c>
      <c r="H53" s="69">
        <f>M14/A53</f>
        <v>1.0555555555555556</v>
      </c>
      <c r="I53" s="70">
        <f>(F14+I14+M14)/A53</f>
        <v>8.4375</v>
      </c>
      <c r="J53" s="71">
        <f>P14/A53</f>
        <v>2.2152777777777777</v>
      </c>
      <c r="K53" s="72">
        <f>R14/A53</f>
        <v>1.1527777777777777</v>
      </c>
      <c r="L53" s="73">
        <f>S14/A53</f>
        <v>4.041666666666667</v>
      </c>
      <c r="M53" s="66">
        <f>T14/A53</f>
        <v>2.013888888888889</v>
      </c>
      <c r="N53" s="74">
        <f>U14/A53</f>
        <v>1.2430555555555556</v>
      </c>
      <c r="O53" s="75">
        <f>V14/A53</f>
        <v>1.8611111111111112</v>
      </c>
      <c r="P53" s="74">
        <f>W14/A53</f>
        <v>1.1319444444444444</v>
      </c>
      <c r="Q53" s="76">
        <f>Y14/A53</f>
        <v>3.7152777777777777</v>
      </c>
      <c r="R53" s="77">
        <f>X14/A53</f>
        <v>1.6180555555555556</v>
      </c>
      <c r="S53" s="77">
        <f>Z14/A53</f>
        <v>2.0972222222222223</v>
      </c>
      <c r="T53" s="86">
        <f>INT((AB14/A14)/60)</f>
        <v>25</v>
      </c>
      <c r="U53" s="79">
        <f>MOD((AB14/A14),60)</f>
        <v>35.9375</v>
      </c>
      <c r="V53" s="80">
        <f>T14+V14+(X14*0.5)+(Z14*0.85)+(AA14*1.4)-((U14+W14)*0.8)-((F14+I14+M14+P14)*0.6)+((E14+H14)*1.4)+(L14*2.4)+O14</f>
        <v>687.6</v>
      </c>
      <c r="W53" s="81">
        <f>((T14+V14-U14-W14)/AB14)*2600</f>
        <v>2.539165818921669</v>
      </c>
      <c r="X53" s="82">
        <f>(D14/AB14)*60</f>
        <v>0.3456086809087826</v>
      </c>
      <c r="Y53" s="81">
        <f>V53/A53</f>
        <v>4.775</v>
      </c>
      <c r="Z53" s="83"/>
      <c r="AA53" s="84"/>
      <c r="AB53" s="85">
        <f>(E14*2+H14*2+L14*3)/(F14*2+I14*2+M14*2)</f>
        <v>0.451440329218107</v>
      </c>
    </row>
    <row r="54" spans="1:28" ht="12.75">
      <c r="A54" s="37">
        <f>A15</f>
        <v>150</v>
      </c>
      <c r="B54" s="37">
        <f>B15</f>
        <v>7</v>
      </c>
      <c r="C54" s="38" t="str">
        <f>C15</f>
        <v>Ducrot Gilles</v>
      </c>
      <c r="D54" s="66">
        <f>D15/A15</f>
        <v>9.393333333333333</v>
      </c>
      <c r="E54" s="67">
        <f>F15/A54</f>
        <v>6.286666666666667</v>
      </c>
      <c r="F54" s="67">
        <f>I15/A54</f>
        <v>1.0066666666666666</v>
      </c>
      <c r="G54" s="68">
        <f>(F15+I15)/A54</f>
        <v>7.293333333333333</v>
      </c>
      <c r="H54" s="69">
        <f>M15/A54</f>
        <v>0.10666666666666667</v>
      </c>
      <c r="I54" s="70">
        <f>(F15+I15+M15)/A54</f>
        <v>7.4</v>
      </c>
      <c r="J54" s="71">
        <f>P15/A54</f>
        <v>4.24</v>
      </c>
      <c r="K54" s="72">
        <f>R15/(A54)</f>
        <v>3.2266666666666666</v>
      </c>
      <c r="L54" s="73">
        <f>S15/A54</f>
        <v>3.4266666666666667</v>
      </c>
      <c r="M54" s="66">
        <f>T15/A54</f>
        <v>1.1466666666666667</v>
      </c>
      <c r="N54" s="74">
        <f>U15/A54</f>
        <v>0.6533333333333333</v>
      </c>
      <c r="O54" s="75">
        <f>V15/A54</f>
        <v>0.7266666666666667</v>
      </c>
      <c r="P54" s="74">
        <f>W15/A54</f>
        <v>1.0866666666666667</v>
      </c>
      <c r="Q54" s="76">
        <f>Y15/A54</f>
        <v>3.8</v>
      </c>
      <c r="R54" s="77">
        <f>X15/A54</f>
        <v>2.2</v>
      </c>
      <c r="S54" s="77">
        <f>Z15/A54</f>
        <v>1.6</v>
      </c>
      <c r="T54" s="86">
        <f>INT((AB15/A15)/60)</f>
        <v>19</v>
      </c>
      <c r="U54" s="79">
        <f>MOD((AB15/A15),60)</f>
        <v>33.36666666666656</v>
      </c>
      <c r="V54" s="80">
        <f>T15+V15+(X15*0.5)+(Z15*0.85)+(AA15*1.4)-((U15+W15)*0.8)-((F15+I15+M15+P15)*0.6)+((E15+H15)*1.4)+(L15*2.4)+O15</f>
        <v>515.4000000000001</v>
      </c>
      <c r="W54" s="81">
        <f>((T15+V15-U15-W15)/AB15)*2600</f>
        <v>0.2954461520979517</v>
      </c>
      <c r="X54" s="82">
        <f>(D15/AB15)*60</f>
        <v>0.4803272634300162</v>
      </c>
      <c r="Y54" s="81">
        <f>V54/A54</f>
        <v>3.4360000000000004</v>
      </c>
      <c r="Z54" s="83"/>
      <c r="AA54" s="84"/>
      <c r="AB54" s="85">
        <f>(E15*2+H15*2+L15*3)/(F15*2+I15*2+M15*2)</f>
        <v>0.48558558558558557</v>
      </c>
    </row>
    <row r="55" spans="1:28" ht="12.75">
      <c r="A55" s="37">
        <f>A16</f>
        <v>21</v>
      </c>
      <c r="B55" s="37">
        <f>B16</f>
        <v>1</v>
      </c>
      <c r="C55" s="38" t="str">
        <f>C16</f>
        <v>Dupont Franck</v>
      </c>
      <c r="D55" s="66">
        <f>D16/A16</f>
        <v>2.0476190476190474</v>
      </c>
      <c r="E55" s="67">
        <f>F16/A55</f>
        <v>2.238095238095238</v>
      </c>
      <c r="F55" s="67">
        <f>I16/A55</f>
        <v>0.047619047619047616</v>
      </c>
      <c r="G55" s="68">
        <f>(F16+I16)/A55</f>
        <v>2.2857142857142856</v>
      </c>
      <c r="H55" s="69">
        <f>M16/A55</f>
        <v>0</v>
      </c>
      <c r="I55" s="70">
        <f>(F16+I16+M16)/A55</f>
        <v>2.2857142857142856</v>
      </c>
      <c r="J55" s="71">
        <f>P16/A55</f>
        <v>1.4285714285714286</v>
      </c>
      <c r="K55" s="72">
        <f>R16/(A55)</f>
        <v>1</v>
      </c>
      <c r="L55" s="73">
        <f>S16/A55</f>
        <v>2.5714285714285716</v>
      </c>
      <c r="M55" s="66">
        <f>T16/A55</f>
        <v>0.6666666666666666</v>
      </c>
      <c r="N55" s="74">
        <f>U16/A55</f>
        <v>0.42857142857142855</v>
      </c>
      <c r="O55" s="75">
        <f>V16/A55</f>
        <v>0.5714285714285714</v>
      </c>
      <c r="P55" s="74">
        <f>W16/A55</f>
        <v>0.6666666666666666</v>
      </c>
      <c r="Q55" s="76">
        <f>Y16/A55</f>
        <v>5.476190476190476</v>
      </c>
      <c r="R55" s="77">
        <f>X16/A55</f>
        <v>3.8095238095238093</v>
      </c>
      <c r="S55" s="77">
        <f>Z16/A55</f>
        <v>1.6666666666666667</v>
      </c>
      <c r="T55" s="86">
        <f>INT((AB16/A16)/60)</f>
        <v>16</v>
      </c>
      <c r="U55" s="79">
        <f>MOD((AB16/A16),60)</f>
        <v>40.47619047619048</v>
      </c>
      <c r="V55" s="80">
        <f>T16+V16+(X16*0.5)+(Z16*0.85)+(AA16*1.4)-((U16+W16)*0.8)-((F16+I16+M16+P16)*0.6)+((E16+H16)*1.4)+(L16*2.4)+O16</f>
        <v>63.349999999999994</v>
      </c>
      <c r="W55" s="81">
        <f>((T16+V16-U16-W16)/AB16)*2600</f>
        <v>0.3712517848643503</v>
      </c>
      <c r="X55" s="82">
        <f>(D16/AB16)*60</f>
        <v>0.12279866730128511</v>
      </c>
      <c r="Y55" s="81">
        <f>V55/A55</f>
        <v>3.0166666666666666</v>
      </c>
      <c r="Z55" s="83"/>
      <c r="AA55" s="84"/>
      <c r="AB55" s="85">
        <f>(E16*2+H16*2+L16*3)/(F16*2+I16*2+M16*2)</f>
        <v>0.3541666666666667</v>
      </c>
    </row>
    <row r="56" spans="1:28" ht="12.75">
      <c r="A56" s="37">
        <f>A17</f>
        <v>83</v>
      </c>
      <c r="B56" s="37">
        <f>B17</f>
        <v>4</v>
      </c>
      <c r="C56" s="38" t="str">
        <f>C17</f>
        <v>Evtimov Ilia</v>
      </c>
      <c r="D56" s="66">
        <f>D17/A17</f>
        <v>16.19277108433735</v>
      </c>
      <c r="E56" s="67">
        <f>F17/A56</f>
        <v>5.108433734939759</v>
      </c>
      <c r="F56" s="67">
        <f>I17/A56</f>
        <v>4.457831325301205</v>
      </c>
      <c r="G56" s="68">
        <f>(F17+I17)/A56</f>
        <v>9.566265060240964</v>
      </c>
      <c r="H56" s="69">
        <f>M17/A56</f>
        <v>1.3975903614457832</v>
      </c>
      <c r="I56" s="70">
        <f>(F17+I17+M17)/A56</f>
        <v>10.963855421686747</v>
      </c>
      <c r="J56" s="71">
        <f>P17/A56</f>
        <v>4.301204819277109</v>
      </c>
      <c r="K56" s="72">
        <f>R17/A56</f>
        <v>3.2048192771084336</v>
      </c>
      <c r="L56" s="73">
        <f>S17/A56</f>
        <v>3.2289156626506026</v>
      </c>
      <c r="M56" s="66">
        <f>T17/A56</f>
        <v>1.3253012048192772</v>
      </c>
      <c r="N56" s="74">
        <f>U17/A56</f>
        <v>0.8554216867469879</v>
      </c>
      <c r="O56" s="75">
        <f>V17/A56</f>
        <v>1.180722891566265</v>
      </c>
      <c r="P56" s="74">
        <f>W17/A56</f>
        <v>1</v>
      </c>
      <c r="Q56" s="76">
        <f>Y17/A56</f>
        <v>6.421686746987952</v>
      </c>
      <c r="R56" s="77">
        <f>X17/A56</f>
        <v>5.156626506024097</v>
      </c>
      <c r="S56" s="77">
        <f>Z17/A56</f>
        <v>1.2650602409638554</v>
      </c>
      <c r="T56" s="78">
        <f>INT((AB17/A17)/60)</f>
        <v>29</v>
      </c>
      <c r="U56" s="79">
        <f>MOD((AB17/A17),60)</f>
        <v>13.915662650602371</v>
      </c>
      <c r="V56" s="80">
        <f>T17+V17+(X17*0.5)+(Z17*0.85)+(AA17*1.4)-((U17+W17)*0.8)-((F17+I17+M17+P17)*0.6)+((E17+H17)*1.4)+(L17*2.4)+O17</f>
        <v>721.85</v>
      </c>
      <c r="W56" s="81">
        <f>((T17+V17-U17-W17)/AB17)*2600</f>
        <v>0.964451313755796</v>
      </c>
      <c r="X56" s="82">
        <f>(D17/AB17)*60</f>
        <v>0.5539412673879444</v>
      </c>
      <c r="Y56" s="81">
        <f>V56/A56</f>
        <v>8.696987951807229</v>
      </c>
      <c r="Z56" s="83"/>
      <c r="AA56" s="84"/>
      <c r="AB56" s="85">
        <f>(E17*2+H17*2+L17*3)/(F17*2+I17*2+M17*2)</f>
        <v>0.5692307692307692</v>
      </c>
    </row>
    <row r="57" spans="1:28" ht="12.75">
      <c r="A57" s="37">
        <f>A18</f>
        <v>65</v>
      </c>
      <c r="B57" s="37">
        <f>B18</f>
        <v>3</v>
      </c>
      <c r="C57" s="38" t="str">
        <f>C18</f>
        <v>Ganozzi Sébastien</v>
      </c>
      <c r="D57" s="66">
        <f>D18/A18</f>
        <v>16.8</v>
      </c>
      <c r="E57" s="67">
        <f>F18/A57</f>
        <v>6.2615384615384615</v>
      </c>
      <c r="F57" s="67">
        <f>I18/A57</f>
        <v>3.8615384615384616</v>
      </c>
      <c r="G57" s="68">
        <f>(F18+I18)/A57</f>
        <v>10.123076923076923</v>
      </c>
      <c r="H57" s="69">
        <f>M18/A57</f>
        <v>3.2615384615384615</v>
      </c>
      <c r="I57" s="70">
        <f>(F18+I18+M18)/A57</f>
        <v>13.384615384615385</v>
      </c>
      <c r="J57" s="71">
        <f>P18/A57</f>
        <v>6.323076923076923</v>
      </c>
      <c r="K57" s="72">
        <f>R18/A57</f>
        <v>4.846153846153846</v>
      </c>
      <c r="L57" s="73">
        <f>S18/A57</f>
        <v>3.646153846153846</v>
      </c>
      <c r="M57" s="66">
        <f>T18/A57</f>
        <v>2.0307692307692307</v>
      </c>
      <c r="N57" s="74">
        <f>U18/A57</f>
        <v>1.4461538461538461</v>
      </c>
      <c r="O57" s="75">
        <f>V18/A57</f>
        <v>1.7230769230769232</v>
      </c>
      <c r="P57" s="74">
        <f>W18/A57</f>
        <v>1.8</v>
      </c>
      <c r="Q57" s="76">
        <f>Y18/A57</f>
        <v>4.553846153846154</v>
      </c>
      <c r="R57" s="77">
        <f>X18/A57</f>
        <v>3.1076923076923078</v>
      </c>
      <c r="S57" s="77">
        <f>Z18/A57</f>
        <v>1.4461538461538461</v>
      </c>
      <c r="T57" s="78">
        <f>INT((AB18/A18)/60)</f>
        <v>27</v>
      </c>
      <c r="U57" s="79">
        <f>MOD((AB18/A18),60)</f>
        <v>39.69230769230762</v>
      </c>
      <c r="V57" s="80">
        <f>T18+V18+(X18*0.5)+(Z18*0.85)+(AA18*1.4)-((U18+W18)*0.8)-((F18+I18+M18+P18)*0.6)+((E18+H18)*1.4)+(L18*2.4)+O18</f>
        <v>368.89999999999986</v>
      </c>
      <c r="W57" s="81">
        <f>((T18+V18-U18-W18)/AB18)*2600</f>
        <v>0.7953281423804227</v>
      </c>
      <c r="X57" s="82">
        <f>(D18/AB18)*60</f>
        <v>0.60734149054505</v>
      </c>
      <c r="Y57" s="81">
        <f>V57/A57</f>
        <v>5.675384615384614</v>
      </c>
      <c r="Z57" s="83"/>
      <c r="AA57" s="84"/>
      <c r="AB57" s="85">
        <f>(E18*2+H18*2+L18*3)/(F18*2+I18*2+M18*2)</f>
        <v>0.4494252873563218</v>
      </c>
    </row>
    <row r="58" spans="1:28" ht="12.75">
      <c r="A58" s="37">
        <f aca="true" t="shared" si="10" ref="A58:C77">A19</f>
        <v>42</v>
      </c>
      <c r="B58" s="37">
        <f t="shared" si="10"/>
        <v>3</v>
      </c>
      <c r="C58" s="38" t="str">
        <f t="shared" si="10"/>
        <v>Geoffray Didier</v>
      </c>
      <c r="D58" s="66">
        <f aca="true" t="shared" si="11" ref="D58:D78">D19/A19</f>
        <v>7.690476190476191</v>
      </c>
      <c r="E58" s="67">
        <f>F19/A58</f>
        <v>3.9761904761904763</v>
      </c>
      <c r="F58" s="67">
        <f>I19/A58</f>
        <v>1.619047619047619</v>
      </c>
      <c r="G58" s="68">
        <f>(F19+I19)/A58</f>
        <v>5.595238095238095</v>
      </c>
      <c r="H58" s="69">
        <f>M19/A58</f>
        <v>2.119047619047619</v>
      </c>
      <c r="I58" s="70">
        <f>(F19+I19+M19)/A58</f>
        <v>7.714285714285714</v>
      </c>
      <c r="J58" s="71">
        <f>P19/A58</f>
        <v>1.8333333333333333</v>
      </c>
      <c r="K58" s="72">
        <f>R19/(A58-14)</f>
        <v>1.5357142857142858</v>
      </c>
      <c r="L58" s="73">
        <f>S19/A58</f>
        <v>2.261904761904762</v>
      </c>
      <c r="M58" s="66">
        <f>T19/A58</f>
        <v>0.5714285714285714</v>
      </c>
      <c r="N58" s="74">
        <f>U19/A58</f>
        <v>0.6666666666666666</v>
      </c>
      <c r="O58" s="75">
        <f>V19/A58</f>
        <v>0.47619047619047616</v>
      </c>
      <c r="P58" s="74">
        <f>W19/A58</f>
        <v>0.5952380952380952</v>
      </c>
      <c r="Q58" s="76">
        <f>Y19/A58</f>
        <v>2.1666666666666665</v>
      </c>
      <c r="R58" s="77">
        <f>X19/A58</f>
        <v>1.3571428571428572</v>
      </c>
      <c r="S58" s="77">
        <f>Z19/A58</f>
        <v>0.8095238095238095</v>
      </c>
      <c r="T58" s="86">
        <f aca="true" t="shared" si="12" ref="T58:T78">INT((AB19/A19)/60)</f>
        <v>18</v>
      </c>
      <c r="U58" s="79">
        <f aca="true" t="shared" si="13" ref="U58:U78">MOD((AB19/A19),60)</f>
        <v>30.476190476190368</v>
      </c>
      <c r="V58" s="80">
        <f aca="true" t="shared" si="14" ref="V58:V78">T19+V19+(X19*0.5)+(Z19*0.85)+(AA19*1.4)-((U19+W19)*0.8)-((F19+I19+M19+P19)*0.6)+((E19+H19)*1.4)+(L19*2.4)+O19</f>
        <v>92.80000000000001</v>
      </c>
      <c r="W58" s="81">
        <f aca="true" t="shared" si="15" ref="W58:W78">((T19+V19-U19-W19)/AB19)*2600</f>
        <v>-0.5017152658662093</v>
      </c>
      <c r="X58" s="82">
        <f aca="true" t="shared" si="16" ref="X58:X78">(D19/AB19)*60</f>
        <v>0.4155231560891938</v>
      </c>
      <c r="Y58" s="81">
        <f>V58/A58</f>
        <v>2.2095238095238097</v>
      </c>
      <c r="Z58" s="83"/>
      <c r="AA58" s="84"/>
      <c r="AB58" s="85">
        <f aca="true" t="shared" si="17" ref="AB58:AB78">(E19*2+H19*2+L19*3)/(F19*2+I19*2+M19*2)</f>
        <v>0.4182098765432099</v>
      </c>
    </row>
    <row r="59" spans="1:28" ht="12.75">
      <c r="A59" s="37">
        <f t="shared" si="10"/>
        <v>27</v>
      </c>
      <c r="B59" s="37">
        <f t="shared" si="10"/>
        <v>2</v>
      </c>
      <c r="C59" s="38" t="str">
        <f t="shared" si="10"/>
        <v>Geoffray Martial</v>
      </c>
      <c r="D59" s="66">
        <f t="shared" si="11"/>
        <v>3.5185185185185186</v>
      </c>
      <c r="E59" s="67">
        <f>F20/A59</f>
        <v>3.4444444444444446</v>
      </c>
      <c r="F59" s="67">
        <f>I20/A59</f>
        <v>0.4444444444444444</v>
      </c>
      <c r="G59" s="68">
        <f>(F20+I20)/A59</f>
        <v>3.888888888888889</v>
      </c>
      <c r="H59" s="69">
        <f>M20/A59</f>
        <v>0</v>
      </c>
      <c r="I59" s="70">
        <f>(F20+I20+M20)/A59</f>
        <v>3.888888888888889</v>
      </c>
      <c r="J59" s="71">
        <f>P20/A59</f>
        <v>1.3333333333333333</v>
      </c>
      <c r="K59" s="72">
        <f>R20/A59</f>
        <v>0.5555555555555556</v>
      </c>
      <c r="L59" s="73">
        <f>S20/A59</f>
        <v>1.8888888888888888</v>
      </c>
      <c r="M59" s="66">
        <f>T20/A59</f>
        <v>0.6666666666666666</v>
      </c>
      <c r="N59" s="74">
        <f>U20/A59</f>
        <v>0.1111111111111111</v>
      </c>
      <c r="O59" s="75">
        <f>V20/A59</f>
        <v>0.5555555555555556</v>
      </c>
      <c r="P59" s="74">
        <f>W20/A59</f>
        <v>0.37037037037037035</v>
      </c>
      <c r="Q59" s="76">
        <f>Y20/A59</f>
        <v>4</v>
      </c>
      <c r="R59" s="77">
        <f>X20/A59</f>
        <v>2.5555555555555554</v>
      </c>
      <c r="S59" s="77">
        <f>Z20/A59</f>
        <v>1.4444444444444444</v>
      </c>
      <c r="T59" s="78">
        <f t="shared" si="12"/>
        <v>14</v>
      </c>
      <c r="U59" s="79">
        <f t="shared" si="13"/>
        <v>50.74074074074076</v>
      </c>
      <c r="V59" s="80">
        <f t="shared" si="14"/>
        <v>87.65</v>
      </c>
      <c r="W59" s="81">
        <f t="shared" si="15"/>
        <v>2.1621621621621623</v>
      </c>
      <c r="X59" s="82">
        <f t="shared" si="16"/>
        <v>0.23700623700623702</v>
      </c>
      <c r="Y59" s="81">
        <f>V59/A59</f>
        <v>3.2462962962962965</v>
      </c>
      <c r="Z59" s="83"/>
      <c r="AA59" s="84"/>
      <c r="AB59" s="85">
        <f t="shared" si="17"/>
        <v>0.3619047619047619</v>
      </c>
    </row>
    <row r="60" spans="1:28" ht="12.75">
      <c r="A60" s="37">
        <f t="shared" si="10"/>
        <v>50</v>
      </c>
      <c r="B60" s="37">
        <f t="shared" si="10"/>
        <v>3</v>
      </c>
      <c r="C60" s="38" t="str">
        <f t="shared" si="10"/>
        <v>Geoffray Max</v>
      </c>
      <c r="D60" s="66">
        <f t="shared" si="11"/>
        <v>3.2</v>
      </c>
      <c r="E60" s="67">
        <f>F21/A60</f>
        <v>1.6</v>
      </c>
      <c r="F60" s="67">
        <f>I21/A60</f>
        <v>0.28</v>
      </c>
      <c r="G60" s="68">
        <f>(F21+I21)/A60</f>
        <v>1.88</v>
      </c>
      <c r="H60" s="69">
        <f>M21/A60</f>
        <v>1.2</v>
      </c>
      <c r="I60" s="70">
        <f>(F21+I21+M21)/A60</f>
        <v>3.08</v>
      </c>
      <c r="J60" s="71">
        <f>P21/A60</f>
        <v>1.18</v>
      </c>
      <c r="K60" s="72">
        <f>R21/(A60-14)</f>
        <v>1</v>
      </c>
      <c r="L60" s="73">
        <f>S21/A60</f>
        <v>2.36</v>
      </c>
      <c r="M60" s="66">
        <f>T21/A60</f>
        <v>1.46</v>
      </c>
      <c r="N60" s="74">
        <f>U21/A60</f>
        <v>1</v>
      </c>
      <c r="O60" s="75">
        <f>V21/A60</f>
        <v>0.94</v>
      </c>
      <c r="P60" s="74">
        <f>W21/A60</f>
        <v>1</v>
      </c>
      <c r="Q60" s="76">
        <f>Y21/A60</f>
        <v>1.34</v>
      </c>
      <c r="R60" s="77">
        <f>X21/A60</f>
        <v>1.16</v>
      </c>
      <c r="S60" s="77">
        <f>Z21/A60</f>
        <v>0.18</v>
      </c>
      <c r="T60" s="78">
        <f t="shared" si="12"/>
        <v>17</v>
      </c>
      <c r="U60" s="79">
        <f t="shared" si="13"/>
        <v>31.799999999999955</v>
      </c>
      <c r="V60" s="80">
        <f t="shared" si="14"/>
        <v>81.05000000000001</v>
      </c>
      <c r="W60" s="81">
        <f t="shared" si="15"/>
        <v>0.9887811370983076</v>
      </c>
      <c r="X60" s="82">
        <f t="shared" si="16"/>
        <v>0.18254420992584142</v>
      </c>
      <c r="Y60" s="81">
        <f>V60/A60</f>
        <v>1.6210000000000002</v>
      </c>
      <c r="Z60" s="83"/>
      <c r="AA60" s="84"/>
      <c r="AB60" s="85">
        <f t="shared" si="17"/>
        <v>0.42207792207792205</v>
      </c>
    </row>
    <row r="61" spans="1:28" ht="12.75">
      <c r="A61" s="37">
        <f t="shared" si="10"/>
        <v>126</v>
      </c>
      <c r="B61" s="37">
        <f t="shared" si="10"/>
        <v>6</v>
      </c>
      <c r="C61" s="38" t="str">
        <f t="shared" si="10"/>
        <v>Girin Philippe</v>
      </c>
      <c r="D61" s="66">
        <f t="shared" si="11"/>
        <v>4.380952380952381</v>
      </c>
      <c r="E61" s="67">
        <f>F22/A61</f>
        <v>3.0634920634920637</v>
      </c>
      <c r="F61" s="67">
        <f>I22/A61</f>
        <v>0.1111111111111111</v>
      </c>
      <c r="G61" s="68">
        <f>(F22+I22)/A61</f>
        <v>3.1746031746031744</v>
      </c>
      <c r="H61" s="69">
        <f>M22/A61</f>
        <v>0</v>
      </c>
      <c r="I61" s="70">
        <f>(F22+I22+M22)/A61</f>
        <v>3.1746031746031744</v>
      </c>
      <c r="J61" s="71">
        <f>P22/A61</f>
        <v>2.261904761904762</v>
      </c>
      <c r="K61" s="72">
        <f>R22/A61</f>
        <v>1.7063492063492063</v>
      </c>
      <c r="L61" s="73">
        <f>S22/A61</f>
        <v>3.3333333333333335</v>
      </c>
      <c r="M61" s="66">
        <f>T22/A61</f>
        <v>0.12698412698412698</v>
      </c>
      <c r="N61" s="74">
        <f>U22/A61</f>
        <v>0.29365079365079366</v>
      </c>
      <c r="O61" s="75">
        <f>V22/A61</f>
        <v>0.6746031746031746</v>
      </c>
      <c r="P61" s="74">
        <f>W22/A61</f>
        <v>0.5793650793650794</v>
      </c>
      <c r="Q61" s="76">
        <f>Y22/A61</f>
        <v>3.8015873015873014</v>
      </c>
      <c r="R61" s="77">
        <f>X22/A61</f>
        <v>2.2142857142857144</v>
      </c>
      <c r="S61" s="77">
        <f>Z22/A61</f>
        <v>1.5873015873015872</v>
      </c>
      <c r="T61" s="78">
        <f t="shared" si="12"/>
        <v>13</v>
      </c>
      <c r="U61" s="79">
        <f t="shared" si="13"/>
        <v>14.126984126984098</v>
      </c>
      <c r="V61" s="80">
        <f t="shared" si="14"/>
        <v>507.29999999999995</v>
      </c>
      <c r="W61" s="81">
        <f t="shared" si="15"/>
        <v>-0.23385968418948633</v>
      </c>
      <c r="X61" s="82">
        <f t="shared" si="16"/>
        <v>0.3310013991605037</v>
      </c>
      <c r="Y61" s="81">
        <f>V61/A61</f>
        <v>4.026190476190476</v>
      </c>
      <c r="Z61" s="83"/>
      <c r="AA61" s="84"/>
      <c r="AB61" s="85">
        <f t="shared" si="17"/>
        <v>0.5</v>
      </c>
    </row>
    <row r="62" spans="1:28" ht="12.75">
      <c r="A62" s="37">
        <f t="shared" si="10"/>
        <v>43</v>
      </c>
      <c r="B62" s="37">
        <f t="shared" si="10"/>
        <v>2</v>
      </c>
      <c r="C62" s="38" t="str">
        <f t="shared" si="10"/>
        <v>Grosset Olivier</v>
      </c>
      <c r="D62" s="66">
        <f t="shared" si="11"/>
        <v>17.88372093023256</v>
      </c>
      <c r="E62" s="67">
        <f>F23/A62</f>
        <v>6.465116279069767</v>
      </c>
      <c r="F62" s="67">
        <f>I23/A62</f>
        <v>1.302325581395349</v>
      </c>
      <c r="G62" s="68">
        <f>(F23+I23)/A62</f>
        <v>7.767441860465116</v>
      </c>
      <c r="H62" s="69">
        <f>M23/A62</f>
        <v>7.604651162790698</v>
      </c>
      <c r="I62" s="70">
        <f>(F23+I23+M23)/A62</f>
        <v>15.372093023255815</v>
      </c>
      <c r="J62" s="71">
        <f>P23/A62</f>
        <v>4.790697674418604</v>
      </c>
      <c r="K62" s="72">
        <f>R23/(A62-14)</f>
        <v>3.7241379310344827</v>
      </c>
      <c r="L62" s="73">
        <f>S23/A62</f>
        <v>2.0697674418604652</v>
      </c>
      <c r="M62" s="66">
        <f>T23/A62</f>
        <v>5.116279069767442</v>
      </c>
      <c r="N62" s="74">
        <f>U23/A62</f>
        <v>2.8372093023255816</v>
      </c>
      <c r="O62" s="75">
        <f>V23/A62</f>
        <v>0.6744186046511628</v>
      </c>
      <c r="P62" s="74">
        <f>W23/A62</f>
        <v>1.1395348837209303</v>
      </c>
      <c r="Q62" s="76">
        <f>Y23/A62</f>
        <v>9.86046511627907</v>
      </c>
      <c r="R62" s="77">
        <f>X23/A62</f>
        <v>8.418604651162791</v>
      </c>
      <c r="S62" s="77">
        <f>Z23/A62</f>
        <v>1.441860465116279</v>
      </c>
      <c r="T62" s="86">
        <f t="shared" si="12"/>
        <v>33</v>
      </c>
      <c r="U62" s="79">
        <f t="shared" si="13"/>
        <v>45</v>
      </c>
      <c r="V62" s="80">
        <f t="shared" si="14"/>
        <v>450.70000000000005</v>
      </c>
      <c r="W62" s="81">
        <f t="shared" si="15"/>
        <v>2.3290267011197243</v>
      </c>
      <c r="X62" s="82">
        <f t="shared" si="16"/>
        <v>0.5298880275624461</v>
      </c>
      <c r="Y62" s="81">
        <f>V62/A62</f>
        <v>10.48139534883721</v>
      </c>
      <c r="Z62" s="83"/>
      <c r="AA62" s="84"/>
      <c r="AB62" s="85">
        <f t="shared" si="17"/>
        <v>0.4636913767019667</v>
      </c>
    </row>
    <row r="63" spans="1:28" ht="12.75">
      <c r="A63" s="37">
        <f t="shared" si="10"/>
        <v>41</v>
      </c>
      <c r="B63" s="37">
        <f t="shared" si="10"/>
        <v>2</v>
      </c>
      <c r="C63" s="38" t="str">
        <f t="shared" si="10"/>
        <v>Lapalu Gérard</v>
      </c>
      <c r="D63" s="66">
        <f t="shared" si="11"/>
        <v>17.073170731707318</v>
      </c>
      <c r="E63" s="67">
        <f>F24/A63</f>
        <v>12.097560975609756</v>
      </c>
      <c r="F63" s="67">
        <f>I24/A63</f>
        <v>2.073170731707317</v>
      </c>
      <c r="G63" s="68">
        <f>(F24+I24)/A63</f>
        <v>14.170731707317072</v>
      </c>
      <c r="H63" s="69">
        <f>M24/A63</f>
        <v>0.17073170731707318</v>
      </c>
      <c r="I63" s="70">
        <f>(F24+I24+M24)/A63</f>
        <v>14.341463414634147</v>
      </c>
      <c r="J63" s="71">
        <f>P24/A63</f>
        <v>5.7073170731707314</v>
      </c>
      <c r="K63" s="72">
        <f>R24/A63</f>
        <v>3.4634146341463414</v>
      </c>
      <c r="L63" s="73">
        <f>S24/A63</f>
        <v>3.5121951219512195</v>
      </c>
      <c r="M63" s="66">
        <f>T24/A63</f>
        <v>1.7560975609756098</v>
      </c>
      <c r="N63" s="74">
        <f>U24/A63</f>
        <v>0.8292682926829268</v>
      </c>
      <c r="O63" s="75">
        <f>V24/A63</f>
        <v>1.1219512195121952</v>
      </c>
      <c r="P63" s="74">
        <f>W24/A63</f>
        <v>1.1951219512195121</v>
      </c>
      <c r="Q63" s="76">
        <f>Y24/A63</f>
        <v>10.292682926829269</v>
      </c>
      <c r="R63" s="77">
        <f>X24/A63</f>
        <v>6.682926829268292</v>
      </c>
      <c r="S63" s="77">
        <f>Z24/A63</f>
        <v>3.6097560975609757</v>
      </c>
      <c r="T63" s="78">
        <f t="shared" si="12"/>
        <v>33</v>
      </c>
      <c r="U63" s="79">
        <f t="shared" si="13"/>
        <v>31.829268292682855</v>
      </c>
      <c r="V63" s="80">
        <f t="shared" si="14"/>
        <v>368.4</v>
      </c>
      <c r="W63" s="81">
        <f t="shared" si="15"/>
        <v>1.103230890464933</v>
      </c>
      <c r="X63" s="82">
        <f t="shared" si="16"/>
        <v>0.5091834879068922</v>
      </c>
      <c r="Y63" s="81">
        <f>V63/A63</f>
        <v>8.985365853658536</v>
      </c>
      <c r="Z63" s="83"/>
      <c r="AA63" s="84"/>
      <c r="AB63" s="85">
        <f t="shared" si="17"/>
        <v>0.4744897959183674</v>
      </c>
    </row>
    <row r="64" spans="1:28" ht="12.75">
      <c r="A64" s="37">
        <f t="shared" si="10"/>
        <v>144</v>
      </c>
      <c r="B64" s="37">
        <f t="shared" si="10"/>
        <v>7</v>
      </c>
      <c r="C64" s="38" t="str">
        <f t="shared" si="10"/>
        <v>Lathuilière Cédric</v>
      </c>
      <c r="D64" s="66">
        <f t="shared" si="11"/>
        <v>12.569444444444445</v>
      </c>
      <c r="E64" s="67">
        <f>F25/A64</f>
        <v>4.583333333333333</v>
      </c>
      <c r="F64" s="67">
        <f>I25/A64</f>
        <v>0.4027777777777778</v>
      </c>
      <c r="G64" s="68">
        <f>(F25+I25)/A64</f>
        <v>4.986111111111111</v>
      </c>
      <c r="H64" s="69">
        <f>M25/A64</f>
        <v>6.152777777777778</v>
      </c>
      <c r="I64" s="70">
        <f>(F25+I25+M25)/A64</f>
        <v>11.13888888888889</v>
      </c>
      <c r="J64" s="71">
        <f>P25/A64</f>
        <v>3.013888888888889</v>
      </c>
      <c r="K64" s="72">
        <f>R25/A64</f>
        <v>2.638888888888889</v>
      </c>
      <c r="L64" s="73">
        <f>S25/A64</f>
        <v>2.0069444444444446</v>
      </c>
      <c r="M64" s="66">
        <f>T25/A64</f>
        <v>1.8333333333333333</v>
      </c>
      <c r="N64" s="74">
        <f>U25/A64</f>
        <v>1.2152777777777777</v>
      </c>
      <c r="O64" s="75">
        <f>V25/A64</f>
        <v>1.2847222222222223</v>
      </c>
      <c r="P64" s="74">
        <f>W25/A64</f>
        <v>1.125</v>
      </c>
      <c r="Q64" s="76">
        <f>Y25/A64</f>
        <v>2.3680555555555554</v>
      </c>
      <c r="R64" s="77">
        <f>X25/A64</f>
        <v>1.8680555555555556</v>
      </c>
      <c r="S64" s="77">
        <f>Z25/A64</f>
        <v>0.5</v>
      </c>
      <c r="T64" s="78">
        <f t="shared" si="12"/>
        <v>25</v>
      </c>
      <c r="U64" s="79">
        <f t="shared" si="13"/>
        <v>8.993055555555657</v>
      </c>
      <c r="V64" s="80">
        <f t="shared" si="14"/>
        <v>600.9000000000001</v>
      </c>
      <c r="W64" s="81">
        <f t="shared" si="15"/>
        <v>1.3401136703559677</v>
      </c>
      <c r="X64" s="82">
        <f t="shared" si="16"/>
        <v>0.4997814031616006</v>
      </c>
      <c r="Y64" s="81">
        <f>V64/A64</f>
        <v>4.1729166666666675</v>
      </c>
      <c r="Z64" s="83"/>
      <c r="AA64" s="84"/>
      <c r="AB64" s="85">
        <f t="shared" si="17"/>
        <v>0.4837905236907731</v>
      </c>
    </row>
    <row r="65" spans="1:28" ht="12.75">
      <c r="A65" s="37">
        <f t="shared" si="10"/>
        <v>113</v>
      </c>
      <c r="B65" s="37">
        <f t="shared" si="10"/>
        <v>7</v>
      </c>
      <c r="C65" s="38" t="str">
        <f t="shared" si="10"/>
        <v>Loron Fred</v>
      </c>
      <c r="D65" s="66">
        <f t="shared" si="11"/>
        <v>8</v>
      </c>
      <c r="E65" s="67">
        <f>F26/A65</f>
        <v>4.646017699115045</v>
      </c>
      <c r="F65" s="67">
        <f>I26/A65</f>
        <v>1.336283185840708</v>
      </c>
      <c r="G65" s="68">
        <f>(F26+I26)/A65</f>
        <v>5.982300884955753</v>
      </c>
      <c r="H65" s="69">
        <f>M26/A65</f>
        <v>1.3982300884955752</v>
      </c>
      <c r="I65" s="66">
        <f>(F26+I26+M26)/A65</f>
        <v>7.380530973451328</v>
      </c>
      <c r="J65" s="71">
        <f>P26/A65</f>
        <v>1.424778761061947</v>
      </c>
      <c r="K65" s="72">
        <f>R26/A65</f>
        <v>1.1504424778761062</v>
      </c>
      <c r="L65" s="73">
        <f>S26/A65</f>
        <v>2.4867256637168142</v>
      </c>
      <c r="M65" s="66">
        <f>T26/A65</f>
        <v>0.7876106194690266</v>
      </c>
      <c r="N65" s="74">
        <f>U26/A65</f>
        <v>0.9823008849557522</v>
      </c>
      <c r="O65" s="75">
        <f>V26/A65</f>
        <v>1.168141592920354</v>
      </c>
      <c r="P65" s="74">
        <f>W26/A65</f>
        <v>0.6548672566371682</v>
      </c>
      <c r="Q65" s="76">
        <f>Y26/A65</f>
        <v>4.592920353982301</v>
      </c>
      <c r="R65" s="77">
        <f>X26/A65</f>
        <v>3.274336283185841</v>
      </c>
      <c r="S65" s="77">
        <f>Z26/A65</f>
        <v>1.3185840707964602</v>
      </c>
      <c r="T65" s="86">
        <f t="shared" si="12"/>
        <v>23</v>
      </c>
      <c r="U65" s="79">
        <f t="shared" si="13"/>
        <v>17.56637168141583</v>
      </c>
      <c r="V65" s="80">
        <f t="shared" si="14"/>
        <v>478.44999999999993</v>
      </c>
      <c r="W65" s="81">
        <f t="shared" si="15"/>
        <v>0.5926864017729935</v>
      </c>
      <c r="X65" s="82">
        <f t="shared" si="16"/>
        <v>0.34345417128383726</v>
      </c>
      <c r="Y65" s="81">
        <f>V65/A65</f>
        <v>4.234070796460176</v>
      </c>
      <c r="Z65" s="83"/>
      <c r="AA65" s="84"/>
      <c r="AB65" s="85">
        <f t="shared" si="17"/>
        <v>0.48501199040767384</v>
      </c>
    </row>
    <row r="66" spans="1:28" ht="12.75">
      <c r="A66" s="37">
        <f t="shared" si="10"/>
        <v>42</v>
      </c>
      <c r="B66" s="37">
        <f t="shared" si="10"/>
        <v>2</v>
      </c>
      <c r="C66" s="38" t="str">
        <f t="shared" si="10"/>
        <v>Martin Brice</v>
      </c>
      <c r="D66" s="66">
        <f t="shared" si="11"/>
        <v>7.4523809523809526</v>
      </c>
      <c r="E66" s="67">
        <f>F27/A66</f>
        <v>5.166666666666667</v>
      </c>
      <c r="F66" s="67">
        <f>I27/A66</f>
        <v>0.5</v>
      </c>
      <c r="G66" s="68">
        <f>(F27+I27)/A66</f>
        <v>5.666666666666667</v>
      </c>
      <c r="H66" s="69">
        <f>M27/A66</f>
        <v>0.023809523809523808</v>
      </c>
      <c r="I66" s="70">
        <f>(F27+I27+M27)/A66</f>
        <v>5.690476190476191</v>
      </c>
      <c r="J66" s="71">
        <f>P27/A66</f>
        <v>2.0238095238095237</v>
      </c>
      <c r="K66" s="72">
        <f>R27/A66</f>
        <v>1.880952380952381</v>
      </c>
      <c r="L66" s="73">
        <f>S27/A66</f>
        <v>2.880952380952381</v>
      </c>
      <c r="M66" s="66">
        <f>T27/A66</f>
        <v>0.4523809523809524</v>
      </c>
      <c r="N66" s="74">
        <f>U27/A66</f>
        <v>0.7380952380952381</v>
      </c>
      <c r="O66" s="75">
        <f>V27/A66</f>
        <v>1.0476190476190477</v>
      </c>
      <c r="P66" s="74">
        <f>W27/A66</f>
        <v>0.8095238095238095</v>
      </c>
      <c r="Q66" s="76">
        <f>Y27/A66</f>
        <v>5.238095238095238</v>
      </c>
      <c r="R66" s="77">
        <f>X27/A66</f>
        <v>2.7857142857142856</v>
      </c>
      <c r="S66" s="77">
        <f>Z27/A66</f>
        <v>2.4523809523809526</v>
      </c>
      <c r="T66" s="86">
        <f t="shared" si="12"/>
        <v>19</v>
      </c>
      <c r="U66" s="79">
        <f t="shared" si="13"/>
        <v>58.92857142857133</v>
      </c>
      <c r="V66" s="80">
        <f t="shared" si="14"/>
        <v>228.25</v>
      </c>
      <c r="W66" s="81">
        <f t="shared" si="15"/>
        <v>-0.1032668056796743</v>
      </c>
      <c r="X66" s="82">
        <f t="shared" si="16"/>
        <v>0.3729520405123622</v>
      </c>
      <c r="Y66" s="81">
        <f>V66/A66</f>
        <v>5.434523809523809</v>
      </c>
      <c r="Z66" s="83"/>
      <c r="AA66" s="84"/>
      <c r="AB66" s="85">
        <f t="shared" si="17"/>
        <v>0.5355648535564853</v>
      </c>
    </row>
    <row r="67" spans="1:28" ht="12.75">
      <c r="A67" s="37">
        <f t="shared" si="10"/>
        <v>93</v>
      </c>
      <c r="B67" s="37">
        <f t="shared" si="10"/>
        <v>5</v>
      </c>
      <c r="C67" s="38" t="str">
        <f t="shared" si="10"/>
        <v>Mathon Fred</v>
      </c>
      <c r="D67" s="66">
        <f t="shared" si="11"/>
        <v>9.311827956989248</v>
      </c>
      <c r="E67" s="67">
        <f>F28/A67</f>
        <v>3.5591397849462365</v>
      </c>
      <c r="F67" s="67">
        <f>I28/A67</f>
        <v>3.161290322580645</v>
      </c>
      <c r="G67" s="68">
        <f>(F28+I28)/A67</f>
        <v>6.720430107526882</v>
      </c>
      <c r="H67" s="69">
        <f>M28/A67</f>
        <v>1.3333333333333333</v>
      </c>
      <c r="I67" s="70">
        <f>(F28+I28+M28)/A67</f>
        <v>8.053763440860216</v>
      </c>
      <c r="J67" s="71">
        <f>P28/A67</f>
        <v>3.870967741935484</v>
      </c>
      <c r="K67" s="72">
        <f>R28/A67</f>
        <v>3.3010752688172045</v>
      </c>
      <c r="L67" s="73">
        <f>S28/A67</f>
        <v>3.5161290322580645</v>
      </c>
      <c r="M67" s="66">
        <f>T28/A67</f>
        <v>2.6236559139784945</v>
      </c>
      <c r="N67" s="74">
        <f>U28/A67</f>
        <v>1.881720430107527</v>
      </c>
      <c r="O67" s="75">
        <f>V28/A67</f>
        <v>1.4731182795698925</v>
      </c>
      <c r="P67" s="74">
        <f>W28/A67</f>
        <v>1.7096774193548387</v>
      </c>
      <c r="Q67" s="76">
        <f>Y28/A67</f>
        <v>2.6344086021505375</v>
      </c>
      <c r="R67" s="77">
        <f>X28/A67</f>
        <v>2.139784946236559</v>
      </c>
      <c r="S67" s="77">
        <f>Z28/A67</f>
        <v>0.4946236559139785</v>
      </c>
      <c r="T67" s="78">
        <f t="shared" si="12"/>
        <v>23</v>
      </c>
      <c r="U67" s="79">
        <f t="shared" si="13"/>
        <v>57.52688172043008</v>
      </c>
      <c r="V67" s="80">
        <f t="shared" si="14"/>
        <v>286.20000000000005</v>
      </c>
      <c r="W67" s="81">
        <f t="shared" si="15"/>
        <v>0.9140549031341163</v>
      </c>
      <c r="X67" s="82">
        <f t="shared" si="16"/>
        <v>0.38866033360759966</v>
      </c>
      <c r="Y67" s="81">
        <f>V67/A67</f>
        <v>3.0774193548387103</v>
      </c>
      <c r="Z67" s="83"/>
      <c r="AA67" s="84"/>
      <c r="AB67" s="85">
        <f t="shared" si="17"/>
        <v>0.4259012016021362</v>
      </c>
    </row>
    <row r="68" spans="1:28" ht="12.75">
      <c r="A68" s="37">
        <f t="shared" si="10"/>
        <v>151</v>
      </c>
      <c r="B68" s="37">
        <f t="shared" si="10"/>
        <v>7</v>
      </c>
      <c r="C68" s="95" t="str">
        <f t="shared" si="10"/>
        <v>Mathon Stéphane</v>
      </c>
      <c r="D68" s="66">
        <f t="shared" si="11"/>
        <v>5.2052980132450335</v>
      </c>
      <c r="E68" s="67">
        <f>F29/A68</f>
        <v>4.28476821192053</v>
      </c>
      <c r="F68" s="67">
        <f>I29/A68</f>
        <v>0.9271523178807947</v>
      </c>
      <c r="G68" s="68">
        <f>(F29+I29)/A68</f>
        <v>5.211920529801325</v>
      </c>
      <c r="H68" s="69">
        <f>M29/A68</f>
        <v>0.039735099337748346</v>
      </c>
      <c r="I68" s="66">
        <f>(F29+I29+M29)/A68</f>
        <v>5.251655629139073</v>
      </c>
      <c r="J68" s="71">
        <f>P29/A68</f>
        <v>1.5364238410596027</v>
      </c>
      <c r="K68" s="72">
        <f>R29/A68</f>
        <v>1.403973509933775</v>
      </c>
      <c r="L68" s="73">
        <f>S29/A68</f>
        <v>2.8543046357615895</v>
      </c>
      <c r="M68" s="66">
        <f>T29/A68</f>
        <v>0.31788079470198677</v>
      </c>
      <c r="N68" s="74">
        <f>U29/A68</f>
        <v>0.3841059602649007</v>
      </c>
      <c r="O68" s="75">
        <f>V29/A68</f>
        <v>0.6556291390728477</v>
      </c>
      <c r="P68" s="74">
        <f>W29/A68</f>
        <v>0.6556291390728477</v>
      </c>
      <c r="Q68" s="76">
        <f>Y29/A68</f>
        <v>4.589403973509934</v>
      </c>
      <c r="R68" s="77">
        <f>X29/A68</f>
        <v>3.1589403973509933</v>
      </c>
      <c r="S68" s="77">
        <f>Z29/A68</f>
        <v>1.4304635761589404</v>
      </c>
      <c r="T68" s="86">
        <f t="shared" si="12"/>
        <v>17</v>
      </c>
      <c r="U68" s="79">
        <f t="shared" si="13"/>
        <v>37.81456953642373</v>
      </c>
      <c r="V68" s="80">
        <f t="shared" si="14"/>
        <v>507.7</v>
      </c>
      <c r="W68" s="81">
        <f t="shared" si="15"/>
        <v>-0.16277468227634131</v>
      </c>
      <c r="X68" s="82">
        <f t="shared" si="16"/>
        <v>0.29524823139047146</v>
      </c>
      <c r="Y68" s="81">
        <f>V68/A68</f>
        <v>3.362251655629139</v>
      </c>
      <c r="Z68" s="83"/>
      <c r="AA68" s="84"/>
      <c r="AB68" s="85">
        <f t="shared" si="17"/>
        <v>0.4274905422446406</v>
      </c>
    </row>
    <row r="69" spans="1:28" ht="12.75">
      <c r="A69" s="37">
        <f t="shared" si="10"/>
        <v>23</v>
      </c>
      <c r="B69" s="37">
        <f t="shared" si="10"/>
        <v>2</v>
      </c>
      <c r="C69" s="38" t="str">
        <f t="shared" si="10"/>
        <v>Paris Gilles</v>
      </c>
      <c r="D69" s="66">
        <f t="shared" si="11"/>
        <v>2.6956521739130435</v>
      </c>
      <c r="E69" s="67">
        <f>F30/A69</f>
        <v>1.826086956521739</v>
      </c>
      <c r="F69" s="67">
        <f>I30/A69</f>
        <v>0.5217391304347826</v>
      </c>
      <c r="G69" s="68">
        <f>(F30+I30)/A69</f>
        <v>2.347826086956522</v>
      </c>
      <c r="H69" s="69">
        <f>M30/A69</f>
        <v>0.043478260869565216</v>
      </c>
      <c r="I69" s="70">
        <f>(F30+I30+M30)/A69</f>
        <v>2.391304347826087</v>
      </c>
      <c r="J69" s="71">
        <f>P30/A69</f>
        <v>2.391304347826087</v>
      </c>
      <c r="K69" s="72">
        <f>R30/A69</f>
        <v>0.9130434782608695</v>
      </c>
      <c r="L69" s="73">
        <f>S30/A69</f>
        <v>2.8260869565217392</v>
      </c>
      <c r="M69" s="66">
        <f>T30/A69</f>
        <v>0.7391304347826086</v>
      </c>
      <c r="N69" s="74">
        <f>U30/A69</f>
        <v>0.8695652173913043</v>
      </c>
      <c r="O69" s="75">
        <f>V30/A69</f>
        <v>1.565217391304348</v>
      </c>
      <c r="P69" s="74">
        <f>W30/A69</f>
        <v>0.391304347826087</v>
      </c>
      <c r="Q69" s="76">
        <f>Y30/A69</f>
        <v>1.7391304347826086</v>
      </c>
      <c r="R69" s="77">
        <f>X30/A69</f>
        <v>0.9130434782608695</v>
      </c>
      <c r="S69" s="77">
        <f>Z30/A69</f>
        <v>0.8260869565217391</v>
      </c>
      <c r="T69" s="78">
        <f t="shared" si="12"/>
        <v>9</v>
      </c>
      <c r="U69" s="79">
        <f t="shared" si="13"/>
        <v>50</v>
      </c>
      <c r="V69" s="80">
        <f t="shared" si="14"/>
        <v>44.85000000000001</v>
      </c>
      <c r="W69" s="81">
        <f t="shared" si="15"/>
        <v>4.598378776713338</v>
      </c>
      <c r="X69" s="82">
        <f t="shared" si="16"/>
        <v>0.2741341193809875</v>
      </c>
      <c r="Y69" s="81">
        <f>V69/A69</f>
        <v>1.9500000000000004</v>
      </c>
      <c r="Z69" s="83"/>
      <c r="AA69" s="84"/>
      <c r="AB69" s="85">
        <f t="shared" si="17"/>
        <v>0.2727272727272727</v>
      </c>
    </row>
    <row r="70" spans="1:28" ht="12.75">
      <c r="A70" s="37">
        <f t="shared" si="10"/>
        <v>302</v>
      </c>
      <c r="B70" s="37">
        <f t="shared" si="10"/>
        <v>14</v>
      </c>
      <c r="C70" s="38" t="str">
        <f t="shared" si="10"/>
        <v>Paris Jérôme</v>
      </c>
      <c r="D70" s="66">
        <f t="shared" si="11"/>
        <v>15.185430463576159</v>
      </c>
      <c r="E70" s="67">
        <f>F31/A70</f>
        <v>8.62251655629139</v>
      </c>
      <c r="F70" s="67">
        <f>I31/A70</f>
        <v>0.3675496688741722</v>
      </c>
      <c r="G70" s="68">
        <f>(F31+I31)/A70</f>
        <v>8.990066225165563</v>
      </c>
      <c r="H70" s="69">
        <f>M31/A70</f>
        <v>0.03642384105960265</v>
      </c>
      <c r="I70" s="70">
        <f>(F31+I31+M31)/A70</f>
        <v>9.026490066225165</v>
      </c>
      <c r="J70" s="71">
        <f>P31/A70</f>
        <v>6.880794701986755</v>
      </c>
      <c r="K70" s="72">
        <f>R31/(A70-14)</f>
        <v>5.739583333333333</v>
      </c>
      <c r="L70" s="73">
        <f>S31/A70</f>
        <v>4.251655629139073</v>
      </c>
      <c r="M70" s="66">
        <f>T31/A70</f>
        <v>2.652317880794702</v>
      </c>
      <c r="N70" s="74">
        <f>U31/A70</f>
        <v>1.576158940397351</v>
      </c>
      <c r="O70" s="75">
        <f>V31/A70</f>
        <v>2.9966887417218544</v>
      </c>
      <c r="P70" s="74">
        <f>W31/A70</f>
        <v>1.3708609271523178</v>
      </c>
      <c r="Q70" s="76">
        <f>Y31/A70</f>
        <v>7.182119205298013</v>
      </c>
      <c r="R70" s="77">
        <f>X31/A70</f>
        <v>4.629139072847682</v>
      </c>
      <c r="S70" s="77">
        <f>Z31/A70</f>
        <v>2.552980132450331</v>
      </c>
      <c r="T70" s="78">
        <f t="shared" si="12"/>
        <v>23</v>
      </c>
      <c r="U70" s="79">
        <f t="shared" si="13"/>
        <v>45.049668874172085</v>
      </c>
      <c r="V70" s="80">
        <f t="shared" si="14"/>
        <v>2845.95</v>
      </c>
      <c r="W70" s="81">
        <f t="shared" si="15"/>
        <v>4.929768917082011</v>
      </c>
      <c r="X70" s="82">
        <f t="shared" si="16"/>
        <v>0.6393642605695166</v>
      </c>
      <c r="Y70" s="81">
        <f>V70/A70</f>
        <v>9.423675496688741</v>
      </c>
      <c r="Z70" s="83"/>
      <c r="AA70" s="84"/>
      <c r="AB70" s="85">
        <f t="shared" si="17"/>
        <v>0.5493396918561996</v>
      </c>
    </row>
    <row r="71" spans="1:28" ht="12.75">
      <c r="A71" s="37">
        <f t="shared" si="10"/>
        <v>36</v>
      </c>
      <c r="B71" s="37">
        <f t="shared" si="10"/>
        <v>2</v>
      </c>
      <c r="C71" s="38" t="str">
        <f t="shared" si="10"/>
        <v>Poncet Stéphane</v>
      </c>
      <c r="D71" s="66">
        <f t="shared" si="11"/>
        <v>5.138888888888889</v>
      </c>
      <c r="E71" s="67">
        <f>F32/A71</f>
        <v>2.7222222222222223</v>
      </c>
      <c r="F71" s="67">
        <f>I32/A71</f>
        <v>1.1111111111111112</v>
      </c>
      <c r="G71" s="68">
        <f>(F32+I32)/A71</f>
        <v>3.8333333333333335</v>
      </c>
      <c r="H71" s="69">
        <f>M32/A71</f>
        <v>0.3611111111111111</v>
      </c>
      <c r="I71" s="70">
        <f>(F32+I32+M32)/A71</f>
        <v>4.194444444444445</v>
      </c>
      <c r="J71" s="71">
        <f>P32/A71</f>
        <v>2.0277777777777777</v>
      </c>
      <c r="K71" s="72">
        <f>R32/(A71)</f>
        <v>1.3333333333333333</v>
      </c>
      <c r="L71" s="73">
        <f>S32/A71</f>
        <v>1.0555555555555556</v>
      </c>
      <c r="M71" s="66">
        <f>T32/A71</f>
        <v>0.4722222222222222</v>
      </c>
      <c r="N71" s="74">
        <f>U32/A71</f>
        <v>0.5833333333333334</v>
      </c>
      <c r="O71" s="75">
        <f>V32/A71</f>
        <v>0.7222222222222222</v>
      </c>
      <c r="P71" s="74">
        <f>W32/A71</f>
        <v>0.3611111111111111</v>
      </c>
      <c r="Q71" s="76">
        <f>Y32/A71</f>
        <v>1.6944444444444444</v>
      </c>
      <c r="R71" s="77">
        <f>X32/A71</f>
        <v>0.7777777777777778</v>
      </c>
      <c r="S71" s="77">
        <f>Z32/A71</f>
        <v>0.9166666666666666</v>
      </c>
      <c r="T71" s="78">
        <f t="shared" si="12"/>
        <v>12</v>
      </c>
      <c r="U71" s="79">
        <f t="shared" si="13"/>
        <v>6.25</v>
      </c>
      <c r="V71" s="80">
        <f t="shared" si="14"/>
        <v>69.04999999999998</v>
      </c>
      <c r="W71" s="81">
        <f t="shared" si="15"/>
        <v>0.8950086058519794</v>
      </c>
      <c r="X71" s="82">
        <f t="shared" si="16"/>
        <v>0.42455536431440044</v>
      </c>
      <c r="Y71" s="81">
        <f>V71/A71</f>
        <v>1.9180555555555552</v>
      </c>
      <c r="Z71" s="83"/>
      <c r="AA71" s="84"/>
      <c r="AB71" s="85">
        <f t="shared" si="17"/>
        <v>0.46688741721854304</v>
      </c>
    </row>
    <row r="72" spans="1:28" ht="12.75">
      <c r="A72" s="37">
        <f t="shared" si="10"/>
        <v>111</v>
      </c>
      <c r="B72" s="37">
        <f t="shared" si="10"/>
        <v>6</v>
      </c>
      <c r="C72" s="38" t="str">
        <f t="shared" si="10"/>
        <v>Sanchez Michel</v>
      </c>
      <c r="D72" s="66">
        <f t="shared" si="11"/>
        <v>1.009009009009009</v>
      </c>
      <c r="E72" s="67">
        <f>F33/A72</f>
        <v>0.21621621621621623</v>
      </c>
      <c r="F72" s="67">
        <f>I33/A72</f>
        <v>0.24324324324324326</v>
      </c>
      <c r="G72" s="68">
        <f>(F33+I33)/A72</f>
        <v>0.4594594594594595</v>
      </c>
      <c r="H72" s="69">
        <f>M33/A72</f>
        <v>0.4954954954954955</v>
      </c>
      <c r="I72" s="70">
        <f>(F33+I33+M33)/A72</f>
        <v>0.954954954954955</v>
      </c>
      <c r="J72" s="71">
        <f>P33/A72</f>
        <v>0.6756756756756757</v>
      </c>
      <c r="K72" s="72">
        <f>R33/15</f>
        <v>5</v>
      </c>
      <c r="L72" s="73">
        <f>S33/A72</f>
        <v>2.6486486486486487</v>
      </c>
      <c r="M72" s="66">
        <f>T33/A72</f>
        <v>3.3423423423423424</v>
      </c>
      <c r="N72" s="74">
        <f>U33/A72</f>
        <v>2.4324324324324325</v>
      </c>
      <c r="O72" s="75">
        <f>V33/A72</f>
        <v>0.9369369369369369</v>
      </c>
      <c r="P72" s="74">
        <f>W33/A72</f>
        <v>0.6936936936936937</v>
      </c>
      <c r="Q72" s="76">
        <f>Y33/A72</f>
        <v>1.7387387387387387</v>
      </c>
      <c r="R72" s="77">
        <f>X33/A72</f>
        <v>1.6486486486486487</v>
      </c>
      <c r="S72" s="77">
        <f>Z33/A72</f>
        <v>0.09009009009009009</v>
      </c>
      <c r="T72" s="78">
        <f t="shared" si="12"/>
        <v>23</v>
      </c>
      <c r="U72" s="79">
        <f t="shared" si="13"/>
        <v>48.87387387387389</v>
      </c>
      <c r="V72" s="80">
        <f t="shared" si="14"/>
        <v>296</v>
      </c>
      <c r="W72" s="81">
        <f t="shared" si="15"/>
        <v>2.098294505217364</v>
      </c>
      <c r="X72" s="82">
        <f t="shared" si="16"/>
        <v>0.042369408278427535</v>
      </c>
      <c r="Y72" s="81">
        <f>V72/A72</f>
        <v>2.6666666666666665</v>
      </c>
      <c r="Z72" s="83"/>
      <c r="AA72" s="84"/>
      <c r="AB72" s="85">
        <f t="shared" si="17"/>
        <v>0.330188679245283</v>
      </c>
    </row>
    <row r="73" spans="1:28" ht="12.75">
      <c r="A73" s="37">
        <f t="shared" si="10"/>
        <v>12</v>
      </c>
      <c r="B73" s="37">
        <f t="shared" si="10"/>
        <v>1</v>
      </c>
      <c r="C73" s="38" t="str">
        <f t="shared" si="10"/>
        <v>Scomparin Joël</v>
      </c>
      <c r="D73" s="66">
        <f t="shared" si="11"/>
        <v>2.25</v>
      </c>
      <c r="E73" s="67">
        <f>F34/A73</f>
        <v>0.3333333333333333</v>
      </c>
      <c r="F73" s="67">
        <f>I34/A73</f>
        <v>0.08333333333333333</v>
      </c>
      <c r="G73" s="68">
        <f>(F34+I34)/A73</f>
        <v>0.4166666666666667</v>
      </c>
      <c r="H73" s="69">
        <f>M34/A73</f>
        <v>1.9166666666666667</v>
      </c>
      <c r="I73" s="70">
        <f>(F34+I34+M34)/A73</f>
        <v>2.3333333333333335</v>
      </c>
      <c r="J73" s="71">
        <f>P34/A73</f>
        <v>0.4166666666666667</v>
      </c>
      <c r="K73" s="72">
        <f>R34/(A73)</f>
        <v>0.8333333333333334</v>
      </c>
      <c r="L73" s="73">
        <f>S34/A73</f>
        <v>1.5833333333333333</v>
      </c>
      <c r="M73" s="66">
        <f>T34/A73</f>
        <v>0.4166666666666667</v>
      </c>
      <c r="N73" s="74">
        <f>U34/A73</f>
        <v>0.9166666666666666</v>
      </c>
      <c r="O73" s="75">
        <f>V34/A73</f>
        <v>0.25</v>
      </c>
      <c r="P73" s="74">
        <f>W34/A73</f>
        <v>0.16666666666666666</v>
      </c>
      <c r="Q73" s="76">
        <f>Y34/A73</f>
        <v>0.5833333333333334</v>
      </c>
      <c r="R73" s="77">
        <f>X34/A73</f>
        <v>0.4166666666666667</v>
      </c>
      <c r="S73" s="77">
        <f>Z34/A73</f>
        <v>0.16666666666666666</v>
      </c>
      <c r="T73" s="86">
        <f t="shared" si="12"/>
        <v>11</v>
      </c>
      <c r="U73" s="79">
        <f t="shared" si="13"/>
        <v>38.33333333333337</v>
      </c>
      <c r="V73" s="80">
        <f t="shared" si="14"/>
        <v>4.199999999999999</v>
      </c>
      <c r="W73" s="81">
        <f t="shared" si="15"/>
        <v>-1.5513126491646778</v>
      </c>
      <c r="X73" s="82">
        <f t="shared" si="16"/>
        <v>0.19331742243436753</v>
      </c>
      <c r="Y73" s="81">
        <f>V73/A73</f>
        <v>0.3499999999999999</v>
      </c>
      <c r="Z73" s="83"/>
      <c r="AA73" s="84"/>
      <c r="AB73" s="85">
        <f t="shared" si="17"/>
        <v>0.39285714285714285</v>
      </c>
    </row>
    <row r="74" spans="1:28" ht="12.75">
      <c r="A74" s="37">
        <f t="shared" si="10"/>
        <v>20</v>
      </c>
      <c r="B74" s="37">
        <f t="shared" si="10"/>
        <v>1</v>
      </c>
      <c r="C74" s="38" t="str">
        <f t="shared" si="10"/>
        <v>Smith Joe</v>
      </c>
      <c r="D74" s="66">
        <f t="shared" si="11"/>
        <v>15.15</v>
      </c>
      <c r="E74" s="67">
        <f>F35/A74</f>
        <v>8.65</v>
      </c>
      <c r="F74" s="67">
        <f>I35/A74</f>
        <v>3.15</v>
      </c>
      <c r="G74" s="68">
        <f>(F35+I35)/A74</f>
        <v>11.8</v>
      </c>
      <c r="H74" s="69">
        <f>M35/A74</f>
        <v>0.2</v>
      </c>
      <c r="I74" s="70">
        <f>(F35+I35+M35)/A74</f>
        <v>12</v>
      </c>
      <c r="J74" s="71">
        <f>P35/A74</f>
        <v>5.75</v>
      </c>
      <c r="K74" s="72">
        <f>R35/(A74)</f>
        <v>3.9</v>
      </c>
      <c r="L74" s="73">
        <f>S35/A74</f>
        <v>2.5</v>
      </c>
      <c r="M74" s="66">
        <f>T35/A74</f>
        <v>0.7</v>
      </c>
      <c r="N74" s="74">
        <f>U35/A74</f>
        <v>0.2</v>
      </c>
      <c r="O74" s="75">
        <f>V35/A74</f>
        <v>0.8</v>
      </c>
      <c r="P74" s="74">
        <f>W35/A74</f>
        <v>2.75</v>
      </c>
      <c r="Q74" s="76">
        <f>Y35/A74</f>
        <v>11.6</v>
      </c>
      <c r="R74" s="77">
        <f>X35/A74</f>
        <v>7.4</v>
      </c>
      <c r="S74" s="77">
        <f>Z35/A74</f>
        <v>4.2</v>
      </c>
      <c r="T74" s="86">
        <f t="shared" si="12"/>
        <v>33</v>
      </c>
      <c r="U74" s="79">
        <f t="shared" si="13"/>
        <v>45</v>
      </c>
      <c r="V74" s="80">
        <f t="shared" si="14"/>
        <v>178.79999999999998</v>
      </c>
      <c r="W74" s="81">
        <f t="shared" si="15"/>
        <v>-1.8617283950617283</v>
      </c>
      <c r="X74" s="82">
        <f t="shared" si="16"/>
        <v>0.4488888888888889</v>
      </c>
      <c r="Y74" s="81">
        <f>V74/A74</f>
        <v>8.94</v>
      </c>
      <c r="Z74" s="83"/>
      <c r="AA74" s="84"/>
      <c r="AB74" s="85">
        <f t="shared" si="17"/>
        <v>0.5166666666666667</v>
      </c>
    </row>
    <row r="75" spans="1:28" ht="12.75">
      <c r="A75" s="37">
        <f t="shared" si="10"/>
        <v>21</v>
      </c>
      <c r="B75" s="37">
        <f t="shared" si="10"/>
        <v>1</v>
      </c>
      <c r="C75" s="38" t="str">
        <f t="shared" si="10"/>
        <v>Souzy Paul</v>
      </c>
      <c r="D75" s="66">
        <f t="shared" si="11"/>
        <v>9.095238095238095</v>
      </c>
      <c r="E75" s="67">
        <f>F36/A75</f>
        <v>5.285714285714286</v>
      </c>
      <c r="F75" s="67">
        <f>I36/A75</f>
        <v>3.9523809523809526</v>
      </c>
      <c r="G75" s="68">
        <f>(F36+I36)/A75</f>
        <v>9.238095238095237</v>
      </c>
      <c r="H75" s="69">
        <f>M36/A75</f>
        <v>0.38095238095238093</v>
      </c>
      <c r="I75" s="70">
        <f>(F36+I36+M36)/A75</f>
        <v>9.619047619047619</v>
      </c>
      <c r="J75" s="71">
        <f>P36/A75</f>
        <v>2.2857142857142856</v>
      </c>
      <c r="K75" s="72">
        <f>R36/A75</f>
        <v>2.5238095238095237</v>
      </c>
      <c r="L75" s="73">
        <f>S36/A75</f>
        <v>3.857142857142857</v>
      </c>
      <c r="M75" s="66">
        <f>T36/A75</f>
        <v>2.4285714285714284</v>
      </c>
      <c r="N75" s="74">
        <f>U36/A75</f>
        <v>1.5714285714285714</v>
      </c>
      <c r="O75" s="75">
        <f>V36/A75</f>
        <v>1.3333333333333333</v>
      </c>
      <c r="P75" s="74">
        <f>W36/A75</f>
        <v>1.5238095238095237</v>
      </c>
      <c r="Q75" s="76">
        <f>Y36/A75</f>
        <v>6.190476190476191</v>
      </c>
      <c r="R75" s="77">
        <f>X36/A75</f>
        <v>3.6666666666666665</v>
      </c>
      <c r="S75" s="77">
        <f>Z36/A75</f>
        <v>2.5238095238095237</v>
      </c>
      <c r="T75" s="78">
        <f t="shared" si="12"/>
        <v>29</v>
      </c>
      <c r="U75" s="79">
        <f t="shared" si="13"/>
        <v>10.476190476190368</v>
      </c>
      <c r="V75" s="80">
        <f t="shared" si="14"/>
        <v>102.35000000000001</v>
      </c>
      <c r="W75" s="81">
        <f t="shared" si="15"/>
        <v>0.9902067464635473</v>
      </c>
      <c r="X75" s="82">
        <f t="shared" si="16"/>
        <v>0.3117519042437432</v>
      </c>
      <c r="Y75" s="81">
        <f>V75/A75</f>
        <v>4.873809523809524</v>
      </c>
      <c r="Z75" s="83"/>
      <c r="AA75" s="84"/>
      <c r="AB75" s="85">
        <f t="shared" si="17"/>
        <v>0.41089108910891087</v>
      </c>
    </row>
    <row r="76" spans="1:28" ht="12.75">
      <c r="A76" s="37">
        <f t="shared" si="10"/>
        <v>43</v>
      </c>
      <c r="B76" s="37">
        <f t="shared" si="10"/>
        <v>2</v>
      </c>
      <c r="C76" s="38" t="str">
        <f t="shared" si="10"/>
        <v>Tartarat Mathieu</v>
      </c>
      <c r="D76" s="66">
        <f t="shared" si="11"/>
        <v>14.534883720930232</v>
      </c>
      <c r="E76" s="67">
        <f>F37/A76</f>
        <v>4.511627906976744</v>
      </c>
      <c r="F76" s="67">
        <f>I37/A76</f>
        <v>2.13953488372093</v>
      </c>
      <c r="G76" s="68">
        <f>(F37+I37)/A76</f>
        <v>6.651162790697675</v>
      </c>
      <c r="H76" s="69">
        <f>M37/A76</f>
        <v>6.511627906976744</v>
      </c>
      <c r="I76" s="70">
        <f>(F37+I37+M37)/A76</f>
        <v>13.162790697674419</v>
      </c>
      <c r="J76" s="71">
        <f>P37/A76</f>
        <v>3.7209302325581395</v>
      </c>
      <c r="K76" s="72">
        <f>R37/A76</f>
        <v>2.813953488372093</v>
      </c>
      <c r="L76" s="73">
        <f>S37/A76</f>
        <v>2.697674418604651</v>
      </c>
      <c r="M76" s="66">
        <f>T37/A76</f>
        <v>1.697674418604651</v>
      </c>
      <c r="N76" s="74">
        <f>U37/A76</f>
        <v>1.5348837209302326</v>
      </c>
      <c r="O76" s="75">
        <f>V37/A76</f>
        <v>2.186046511627907</v>
      </c>
      <c r="P76" s="74">
        <f>W37/A76</f>
        <v>1</v>
      </c>
      <c r="Q76" s="76">
        <f>Y37/A76</f>
        <v>5.627906976744186</v>
      </c>
      <c r="R76" s="77">
        <f>X37/A76</f>
        <v>3.86046511627907</v>
      </c>
      <c r="S76" s="77">
        <f>Z37/A76</f>
        <v>1.7674418604651163</v>
      </c>
      <c r="T76" s="78">
        <f t="shared" si="12"/>
        <v>29</v>
      </c>
      <c r="U76" s="79">
        <f t="shared" si="13"/>
        <v>56.511627906976855</v>
      </c>
      <c r="V76" s="80">
        <f t="shared" si="14"/>
        <v>290.80000000000007</v>
      </c>
      <c r="W76" s="81">
        <f t="shared" si="15"/>
        <v>1.9521035598705503</v>
      </c>
      <c r="X76" s="82">
        <f t="shared" si="16"/>
        <v>0.48543689320388345</v>
      </c>
      <c r="Y76" s="81">
        <f>V76/A76</f>
        <v>6.76279069767442</v>
      </c>
      <c r="Z76" s="83"/>
      <c r="AA76" s="84"/>
      <c r="AB76" s="85">
        <f t="shared" si="17"/>
        <v>0.4717314487632509</v>
      </c>
    </row>
    <row r="77" spans="1:28" ht="12.75">
      <c r="A77" s="37">
        <f t="shared" si="10"/>
        <v>64</v>
      </c>
      <c r="B77" s="37">
        <f t="shared" si="10"/>
        <v>3</v>
      </c>
      <c r="C77" s="38" t="str">
        <f t="shared" si="10"/>
        <v>Vignau Alain</v>
      </c>
      <c r="D77" s="66">
        <f t="shared" si="11"/>
        <v>9.875</v>
      </c>
      <c r="E77" s="67">
        <f>F38/A77</f>
        <v>1.59375</v>
      </c>
      <c r="F77" s="67">
        <f>I38/A77</f>
        <v>1.109375</v>
      </c>
      <c r="G77" s="68">
        <f>(F38+I38)/A77</f>
        <v>2.703125</v>
      </c>
      <c r="H77" s="69">
        <f>M38/A77</f>
        <v>5.046875</v>
      </c>
      <c r="I77" s="70">
        <f>(F38+I38+M38)/A77</f>
        <v>7.75</v>
      </c>
      <c r="J77" s="71">
        <f>P38/A77</f>
        <v>2.625</v>
      </c>
      <c r="K77" s="72">
        <f>R38/(A77)</f>
        <v>2.734375</v>
      </c>
      <c r="L77" s="73">
        <f>S38/A77</f>
        <v>2.96875</v>
      </c>
      <c r="M77" s="66">
        <f>T38/A77</f>
        <v>6.421875</v>
      </c>
      <c r="N77" s="74">
        <f>U38/A77</f>
        <v>3.40625</v>
      </c>
      <c r="O77" s="75">
        <f>V38/A77</f>
        <v>1.34375</v>
      </c>
      <c r="P77" s="74">
        <f>W38/A77</f>
        <v>0.828125</v>
      </c>
      <c r="Q77" s="76">
        <f>Y38/A77</f>
        <v>2.859375</v>
      </c>
      <c r="R77" s="77">
        <f>X38/A77</f>
        <v>2.546875</v>
      </c>
      <c r="S77" s="77">
        <f>Z38/A77</f>
        <v>0.3125</v>
      </c>
      <c r="T77" s="86">
        <f t="shared" si="12"/>
        <v>34</v>
      </c>
      <c r="U77" s="79">
        <f t="shared" si="13"/>
        <v>27.578125</v>
      </c>
      <c r="V77" s="80">
        <f t="shared" si="14"/>
        <v>510.69999999999993</v>
      </c>
      <c r="W77" s="81">
        <f t="shared" si="15"/>
        <v>4.4405819006234655</v>
      </c>
      <c r="X77" s="82">
        <f t="shared" si="16"/>
        <v>0.2865671641791045</v>
      </c>
      <c r="Y77" s="81">
        <f>V77/A77</f>
        <v>7.979687499999999</v>
      </c>
      <c r="Z77" s="83"/>
      <c r="AA77" s="84"/>
      <c r="AB77" s="85">
        <f t="shared" si="17"/>
        <v>0.5050403225806451</v>
      </c>
    </row>
    <row r="78" spans="1:30" s="1" customFormat="1" ht="20.25" customHeight="1">
      <c r="A78" s="56">
        <f>A39</f>
        <v>2258</v>
      </c>
      <c r="B78" s="56"/>
      <c r="C78" s="96" t="s">
        <v>42</v>
      </c>
      <c r="D78" s="97">
        <f t="shared" si="11"/>
        <v>9.942869796279894</v>
      </c>
      <c r="E78" s="97">
        <f>F39/A78</f>
        <v>4.798051372896368</v>
      </c>
      <c r="F78" s="97">
        <f>I39/A78</f>
        <v>1.3976970770593447</v>
      </c>
      <c r="G78" s="98">
        <f>(F39+I39)/A78</f>
        <v>6.195748449955713</v>
      </c>
      <c r="H78" s="99">
        <f>M39/A78</f>
        <v>1.691762621789194</v>
      </c>
      <c r="I78" s="100">
        <f>(F39+I39+M39)/A78</f>
        <v>7.887511071744907</v>
      </c>
      <c r="J78" s="97">
        <f>P39/A78</f>
        <v>3.505314437555359</v>
      </c>
      <c r="K78" s="101">
        <f>R39/A78</f>
        <v>2.7608503100088573</v>
      </c>
      <c r="L78" s="97">
        <f>S39/A78</f>
        <v>3.062001771479185</v>
      </c>
      <c r="M78" s="97">
        <f>T39/A78</f>
        <v>2.0190434012400353</v>
      </c>
      <c r="N78" s="97">
        <f>U39/A78</f>
        <v>1.2980513728963685</v>
      </c>
      <c r="O78" s="97">
        <f>V39/A78</f>
        <v>1.4322409211691762</v>
      </c>
      <c r="P78" s="97">
        <f>W39/A78</f>
        <v>1.0642161204605847</v>
      </c>
      <c r="Q78" s="99">
        <f>Y39/A78</f>
        <v>4.420283436669619</v>
      </c>
      <c r="R78" s="99">
        <f>X39/A78</f>
        <v>3.013286093888397</v>
      </c>
      <c r="S78" s="99">
        <f>Z39/A78</f>
        <v>1.4069973427812223</v>
      </c>
      <c r="T78" s="86">
        <f t="shared" si="12"/>
        <v>23</v>
      </c>
      <c r="U78" s="79">
        <f t="shared" si="13"/>
        <v>28.717891939769743</v>
      </c>
      <c r="V78" s="102">
        <f t="shared" si="14"/>
        <v>12132.45</v>
      </c>
      <c r="W78" s="99">
        <f t="shared" si="15"/>
        <v>2.0099437735095735</v>
      </c>
      <c r="X78" s="99">
        <f t="shared" si="16"/>
        <v>0.42348591665527047</v>
      </c>
      <c r="Y78" s="99">
        <f>V78/A78</f>
        <v>5.373095659875997</v>
      </c>
      <c r="Z78" s="103"/>
      <c r="AA78" s="104"/>
      <c r="AB78" s="105">
        <f t="shared" si="17"/>
        <v>0.4829590117911286</v>
      </c>
      <c r="AC78"/>
      <c r="AD78"/>
    </row>
    <row r="79" spans="20:21" ht="12.75">
      <c r="T79" s="8"/>
      <c r="U79" s="8"/>
    </row>
  </sheetData>
  <printOptions gridLines="1" horizontalCentered="1" verticalCentered="1"/>
  <pageMargins left="0.18" right="0.17" top="1.18" bottom="1.21" header="0.5118110236220472" footer="0.5118110236220472"/>
  <pageSetup fitToHeight="2" fitToWidth="1" horizontalDpi="300" verticalDpi="300" orientation="landscape" pageOrder="overThenDown" paperSize="9" scale="78" r:id="rId3"/>
  <headerFooter alignWithMargins="0">
    <oddHeader>&amp;C&amp;"Arial Rounded MT Bold,Normal"&amp;UStatistiques générales et moyennes des anciens joueurs de Quincié en Nationale&amp;R&amp;D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de l'équipe 1 saison 2001-2002</dc:title>
  <dc:subject/>
  <dc:creator>Patrice Duchampt</dc:creator>
  <cp:keywords/>
  <dc:description/>
  <cp:lastModifiedBy>DUCHAMPT Patrice</cp:lastModifiedBy>
  <cp:lastPrinted>2006-07-12T16:21:49Z</cp:lastPrinted>
  <dcterms:created xsi:type="dcterms:W3CDTF">2000-05-02T13:27:41Z</dcterms:created>
  <dcterms:modified xsi:type="dcterms:W3CDTF">2006-07-12T16:33:28Z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-895804876</vt:i4>
  </property>
  <property fmtid="{D5CDD505-2E9C-101B-9397-08002B2CF9AE}" pid="4" name="_EmailSubje">
    <vt:lpwstr/>
  </property>
  <property fmtid="{D5CDD505-2E9C-101B-9397-08002B2CF9AE}" pid="5" name="_AuthorEma">
    <vt:lpwstr>Patrice.DUCHAMPT@eaurmc.fr</vt:lpwstr>
  </property>
  <property fmtid="{D5CDD505-2E9C-101B-9397-08002B2CF9AE}" pid="6" name="_AuthorEmailDisplayNa">
    <vt:lpwstr>DUCHAMPT Patrice</vt:lpwstr>
  </property>
</Properties>
</file>